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cunovodstvo\Desktop\DOKUMENTI\IZVJEŠTAJI O IZVRŠENJU PLANOVA\"/>
    </mc:Choice>
  </mc:AlternateContent>
  <bookViews>
    <workbookView xWindow="0" yWindow="0" windowWidth="28800" windowHeight="12330" firstSheet="1" activeTab="4"/>
  </bookViews>
  <sheets>
    <sheet name="Izvještaj o izvr.proračuna OPĆI" sheetId="1" r:id="rId1"/>
    <sheet name="Prihodi i rashodi prema ekonoms" sheetId="2" r:id="rId2"/>
    <sheet name="Prihodi i rashodi prema izvorim" sheetId="3" r:id="rId3"/>
    <sheet name="Izvještaj po funkcijskoj klasif" sheetId="13" r:id="rId4"/>
    <sheet name="Izvještaj po programskoj k" sheetId="11" r:id="rId5"/>
    <sheet name="List1" sheetId="12" r:id="rId6"/>
  </sheets>
  <definedNames>
    <definedName name="_xlnm.Print_Area" localSheetId="4">'Izvještaj po programskoj k'!$A$1:$F$449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9" i="11" l="1"/>
  <c r="F449" i="11" s="1"/>
  <c r="D449" i="11"/>
  <c r="C449" i="11"/>
  <c r="O18" i="3"/>
  <c r="Q18" i="3"/>
  <c r="D42" i="2"/>
  <c r="C42" i="2"/>
  <c r="D12" i="1"/>
  <c r="C12" i="1"/>
  <c r="D19" i="11" l="1"/>
  <c r="D20" i="11"/>
  <c r="E83" i="11" l="1"/>
  <c r="D83" i="11"/>
  <c r="C83" i="11"/>
  <c r="F85" i="11"/>
  <c r="F428" i="11"/>
  <c r="E427" i="11"/>
  <c r="D427" i="11"/>
  <c r="D426" i="11" s="1"/>
  <c r="D425" i="11" s="1"/>
  <c r="C427" i="11"/>
  <c r="C426" i="11" s="1"/>
  <c r="C425" i="11" s="1"/>
  <c r="E417" i="11"/>
  <c r="D417" i="11"/>
  <c r="C417" i="11"/>
  <c r="F419" i="11"/>
  <c r="F409" i="11"/>
  <c r="E408" i="11"/>
  <c r="E407" i="11" s="1"/>
  <c r="E406" i="11" s="1"/>
  <c r="D408" i="11"/>
  <c r="C408" i="11"/>
  <c r="C407" i="11" s="1"/>
  <c r="C406" i="11" s="1"/>
  <c r="C382" i="11"/>
  <c r="D382" i="11"/>
  <c r="E382" i="11"/>
  <c r="F322" i="11"/>
  <c r="E321" i="11"/>
  <c r="D321" i="11"/>
  <c r="D320" i="11" s="1"/>
  <c r="C321" i="11"/>
  <c r="C320" i="11" s="1"/>
  <c r="E298" i="11"/>
  <c r="D298" i="11"/>
  <c r="C298" i="11"/>
  <c r="F388" i="11"/>
  <c r="E387" i="11"/>
  <c r="E386" i="11" s="1"/>
  <c r="D387" i="11"/>
  <c r="D386" i="11" s="1"/>
  <c r="C387" i="11"/>
  <c r="C386" i="11" s="1"/>
  <c r="F385" i="11"/>
  <c r="E384" i="11"/>
  <c r="D384" i="11"/>
  <c r="C384" i="11"/>
  <c r="F383" i="11"/>
  <c r="F380" i="11"/>
  <c r="F379" i="11"/>
  <c r="E378" i="11"/>
  <c r="D378" i="11"/>
  <c r="C378" i="11"/>
  <c r="F377" i="11"/>
  <c r="E376" i="11"/>
  <c r="D376" i="11"/>
  <c r="C376" i="11"/>
  <c r="F375" i="11"/>
  <c r="F374" i="11"/>
  <c r="F373" i="11"/>
  <c r="E372" i="11"/>
  <c r="D372" i="11"/>
  <c r="C372" i="11"/>
  <c r="C371" i="11" s="1"/>
  <c r="E282" i="11"/>
  <c r="D282" i="11"/>
  <c r="C282" i="11"/>
  <c r="C287" i="11"/>
  <c r="F284" i="11"/>
  <c r="F251" i="11"/>
  <c r="E250" i="11"/>
  <c r="D250" i="11"/>
  <c r="C250" i="11"/>
  <c r="F249" i="11"/>
  <c r="E248" i="11"/>
  <c r="D248" i="11"/>
  <c r="C248" i="11"/>
  <c r="E233" i="11"/>
  <c r="D233" i="11"/>
  <c r="C233" i="11"/>
  <c r="E229" i="11"/>
  <c r="D229" i="11"/>
  <c r="E226" i="11"/>
  <c r="E225" i="11" s="1"/>
  <c r="D226" i="11"/>
  <c r="D225" i="11" s="1"/>
  <c r="C229" i="11"/>
  <c r="F237" i="11"/>
  <c r="E236" i="11"/>
  <c r="D236" i="11"/>
  <c r="D235" i="11" s="1"/>
  <c r="C236" i="11"/>
  <c r="C235" i="11" s="1"/>
  <c r="F234" i="11"/>
  <c r="F232" i="11"/>
  <c r="F227" i="11"/>
  <c r="C226" i="11"/>
  <c r="C225" i="11" s="1"/>
  <c r="C214" i="11"/>
  <c r="F215" i="11"/>
  <c r="E214" i="11"/>
  <c r="D214" i="11"/>
  <c r="E210" i="11"/>
  <c r="D210" i="11"/>
  <c r="C210" i="11"/>
  <c r="F211" i="11"/>
  <c r="E208" i="11"/>
  <c r="D208" i="11"/>
  <c r="C208" i="11"/>
  <c r="F209" i="11"/>
  <c r="E205" i="11"/>
  <c r="D205" i="11"/>
  <c r="C205" i="11"/>
  <c r="E55" i="11"/>
  <c r="D55" i="11"/>
  <c r="C55" i="11"/>
  <c r="F57" i="11"/>
  <c r="C19" i="11"/>
  <c r="F427" i="11" l="1"/>
  <c r="D381" i="11"/>
  <c r="E371" i="11"/>
  <c r="E370" i="11" s="1"/>
  <c r="E381" i="11"/>
  <c r="C381" i="11"/>
  <c r="D371" i="11"/>
  <c r="D370" i="11" s="1"/>
  <c r="F408" i="11"/>
  <c r="E426" i="11"/>
  <c r="C370" i="11"/>
  <c r="D407" i="11"/>
  <c r="D406" i="11" s="1"/>
  <c r="F406" i="11" s="1"/>
  <c r="F382" i="11"/>
  <c r="F321" i="11"/>
  <c r="E320" i="11"/>
  <c r="F320" i="11" s="1"/>
  <c r="F372" i="11"/>
  <c r="F378" i="11"/>
  <c r="F387" i="11"/>
  <c r="F376" i="11"/>
  <c r="F386" i="11"/>
  <c r="F384" i="11"/>
  <c r="C228" i="11"/>
  <c r="C224" i="11" s="1"/>
  <c r="F250" i="11"/>
  <c r="D228" i="11"/>
  <c r="D224" i="11" s="1"/>
  <c r="F226" i="11"/>
  <c r="E228" i="11"/>
  <c r="F214" i="11"/>
  <c r="F248" i="11"/>
  <c r="F236" i="11"/>
  <c r="E235" i="11"/>
  <c r="F235" i="11" s="1"/>
  <c r="F233" i="11"/>
  <c r="S46" i="3"/>
  <c r="S45" i="3"/>
  <c r="S43" i="3"/>
  <c r="U40" i="3"/>
  <c r="U29" i="3"/>
  <c r="Q46" i="3"/>
  <c r="Q45" i="3"/>
  <c r="Q42" i="3"/>
  <c r="Q43" i="3"/>
  <c r="Q40" i="3"/>
  <c r="Q39" i="3"/>
  <c r="S14" i="3"/>
  <c r="Q14" i="3"/>
  <c r="O14" i="3"/>
  <c r="M14" i="3"/>
  <c r="W17" i="3"/>
  <c r="U17" i="3"/>
  <c r="O46" i="3"/>
  <c r="O45" i="3"/>
  <c r="O42" i="3"/>
  <c r="O43" i="3"/>
  <c r="O40" i="3"/>
  <c r="O39" i="3"/>
  <c r="U20" i="3"/>
  <c r="E425" i="11" l="1"/>
  <c r="F425" i="11" s="1"/>
  <c r="F426" i="11"/>
  <c r="F407" i="11"/>
  <c r="F381" i="11"/>
  <c r="F371" i="11"/>
  <c r="E224" i="11"/>
  <c r="E119" i="2"/>
  <c r="E113" i="2"/>
  <c r="E117" i="2"/>
  <c r="E104" i="2"/>
  <c r="E72" i="2"/>
  <c r="E67" i="2"/>
  <c r="E62" i="2"/>
  <c r="E59" i="2"/>
  <c r="E56" i="2"/>
  <c r="E55" i="2"/>
  <c r="E66" i="2"/>
  <c r="E107" i="2"/>
  <c r="F107" i="2" s="1"/>
  <c r="E98" i="2"/>
  <c r="E95" i="2"/>
  <c r="E91" i="2"/>
  <c r="E86" i="2"/>
  <c r="E84" i="2"/>
  <c r="E78" i="2"/>
  <c r="E75" i="2"/>
  <c r="E79" i="2"/>
  <c r="E71" i="2"/>
  <c r="E73" i="2"/>
  <c r="E68" i="2"/>
  <c r="D119" i="2"/>
  <c r="D113" i="2"/>
  <c r="D117" i="2"/>
  <c r="D116" i="2"/>
  <c r="D104" i="2"/>
  <c r="D72" i="2"/>
  <c r="D67" i="2"/>
  <c r="D62" i="2"/>
  <c r="D59" i="2"/>
  <c r="D55" i="2"/>
  <c r="D76" i="2"/>
  <c r="D71" i="2"/>
  <c r="D66" i="2"/>
  <c r="D107" i="2"/>
  <c r="D98" i="2"/>
  <c r="D95" i="2"/>
  <c r="D91" i="2"/>
  <c r="D88" i="2"/>
  <c r="D86" i="2"/>
  <c r="D84" i="2"/>
  <c r="D78" i="2"/>
  <c r="D79" i="2"/>
  <c r="D75" i="2"/>
  <c r="D73" i="2"/>
  <c r="D74" i="2"/>
  <c r="D68" i="2"/>
  <c r="D83" i="2"/>
  <c r="C119" i="2"/>
  <c r="C113" i="2"/>
  <c r="C117" i="2"/>
  <c r="C104" i="2"/>
  <c r="C72" i="2"/>
  <c r="C67" i="2"/>
  <c r="C62" i="2"/>
  <c r="C59" i="2"/>
  <c r="C55" i="2"/>
  <c r="C76" i="2"/>
  <c r="C71" i="2"/>
  <c r="C66" i="2"/>
  <c r="C107" i="2"/>
  <c r="C106" i="2" s="1"/>
  <c r="C105" i="2" s="1"/>
  <c r="C98" i="2"/>
  <c r="C95" i="2"/>
  <c r="C91" i="2"/>
  <c r="C88" i="2"/>
  <c r="C86" i="2"/>
  <c r="C84" i="2"/>
  <c r="C78" i="2"/>
  <c r="C79" i="2"/>
  <c r="C75" i="2"/>
  <c r="C73" i="2"/>
  <c r="C74" i="2"/>
  <c r="B52" i="2"/>
  <c r="B105" i="2"/>
  <c r="B106" i="2"/>
  <c r="C68" i="2"/>
  <c r="E16" i="2"/>
  <c r="D16" i="2"/>
  <c r="B16" i="2"/>
  <c r="C16" i="2"/>
  <c r="G18" i="2"/>
  <c r="F18" i="2"/>
  <c r="F370" i="11" l="1"/>
  <c r="G107" i="2"/>
  <c r="E106" i="2"/>
  <c r="F106" i="2" s="1"/>
  <c r="D106" i="2"/>
  <c r="G106" i="2" s="1"/>
  <c r="C77" i="2"/>
  <c r="E14" i="13" l="1"/>
  <c r="D14" i="13"/>
  <c r="D13" i="13" s="1"/>
  <c r="C14" i="13"/>
  <c r="C13" i="13" s="1"/>
  <c r="E13" i="13" l="1"/>
  <c r="G13" i="13" s="1"/>
  <c r="G14" i="13"/>
  <c r="G15" i="13"/>
  <c r="E58" i="11"/>
  <c r="D354" i="11"/>
  <c r="E93" i="11"/>
  <c r="D93" i="11"/>
  <c r="C93" i="11"/>
  <c r="F95" i="11"/>
  <c r="D58" i="11"/>
  <c r="E398" i="11"/>
  <c r="D398" i="11"/>
  <c r="C398" i="11"/>
  <c r="F400" i="11"/>
  <c r="F364" i="11"/>
  <c r="E363" i="11"/>
  <c r="E362" i="11" s="1"/>
  <c r="E361" i="11" s="1"/>
  <c r="D363" i="11"/>
  <c r="D362" i="11" s="1"/>
  <c r="D361" i="11" s="1"/>
  <c r="C363" i="11"/>
  <c r="C362" i="11" s="1"/>
  <c r="C361" i="11" s="1"/>
  <c r="E332" i="11"/>
  <c r="D332" i="11"/>
  <c r="C332" i="11"/>
  <c r="E335" i="11"/>
  <c r="D335" i="11"/>
  <c r="C335" i="11"/>
  <c r="F337" i="11"/>
  <c r="F333" i="11"/>
  <c r="F331" i="11"/>
  <c r="E330" i="11"/>
  <c r="D330" i="11"/>
  <c r="C330" i="11"/>
  <c r="E314" i="11"/>
  <c r="D314" i="11"/>
  <c r="C314" i="11"/>
  <c r="F316" i="11"/>
  <c r="F288" i="11"/>
  <c r="E287" i="11"/>
  <c r="D287" i="11"/>
  <c r="F286" i="11"/>
  <c r="E285" i="11"/>
  <c r="D285" i="11"/>
  <c r="C285" i="11"/>
  <c r="F283" i="11"/>
  <c r="F247" i="11"/>
  <c r="F246" i="11"/>
  <c r="E245" i="11"/>
  <c r="E244" i="11" s="1"/>
  <c r="D245" i="11"/>
  <c r="C245" i="11"/>
  <c r="E259" i="11"/>
  <c r="D259" i="11"/>
  <c r="C259" i="11"/>
  <c r="E261" i="11"/>
  <c r="D261" i="11"/>
  <c r="C261" i="11"/>
  <c r="F262" i="11"/>
  <c r="F260" i="11"/>
  <c r="F218" i="11"/>
  <c r="E217" i="11"/>
  <c r="E216" i="11" s="1"/>
  <c r="D217" i="11"/>
  <c r="D216" i="11" s="1"/>
  <c r="C217" i="11"/>
  <c r="C216" i="11" s="1"/>
  <c r="E197" i="11"/>
  <c r="D197" i="11"/>
  <c r="C197" i="11"/>
  <c r="F113" i="11"/>
  <c r="E112" i="11"/>
  <c r="D112" i="11"/>
  <c r="D111" i="11" s="1"/>
  <c r="D114" i="11" s="1"/>
  <c r="C112" i="11"/>
  <c r="C111" i="11" s="1"/>
  <c r="C114" i="11" s="1"/>
  <c r="F31" i="11"/>
  <c r="F30" i="11" s="1"/>
  <c r="E31" i="11"/>
  <c r="E30" i="11" s="1"/>
  <c r="D31" i="11"/>
  <c r="D30" i="11" s="1"/>
  <c r="C31" i="11"/>
  <c r="C30" i="11" s="1"/>
  <c r="U48" i="3"/>
  <c r="U46" i="3"/>
  <c r="U45" i="3"/>
  <c r="U43" i="3"/>
  <c r="U42" i="3"/>
  <c r="U39" i="3"/>
  <c r="C244" i="11" l="1"/>
  <c r="C243" i="11" s="1"/>
  <c r="D244" i="11"/>
  <c r="D243" i="11" s="1"/>
  <c r="C329" i="11"/>
  <c r="E329" i="11"/>
  <c r="D329" i="11"/>
  <c r="F363" i="11"/>
  <c r="F285" i="11"/>
  <c r="F362" i="11"/>
  <c r="F332" i="11"/>
  <c r="F287" i="11"/>
  <c r="F330" i="11"/>
  <c r="C258" i="11"/>
  <c r="E258" i="11"/>
  <c r="F245" i="11"/>
  <c r="D258" i="11"/>
  <c r="F112" i="11"/>
  <c r="E243" i="11"/>
  <c r="F216" i="11"/>
  <c r="F259" i="11"/>
  <c r="F261" i="11"/>
  <c r="F217" i="11"/>
  <c r="E111" i="11"/>
  <c r="E114" i="11" s="1"/>
  <c r="F114" i="11" s="1"/>
  <c r="W31" i="3"/>
  <c r="U28" i="3"/>
  <c r="W49" i="3"/>
  <c r="W26" i="3"/>
  <c r="W23" i="3"/>
  <c r="S27" i="3"/>
  <c r="Q27" i="3"/>
  <c r="O27" i="3"/>
  <c r="M27" i="3"/>
  <c r="W29" i="3"/>
  <c r="F244" i="11" l="1"/>
  <c r="F243" i="11"/>
  <c r="U27" i="3"/>
  <c r="F329" i="11"/>
  <c r="F361" i="11"/>
  <c r="F111" i="11"/>
  <c r="F258" i="11"/>
  <c r="D103" i="2"/>
  <c r="E49" i="2" l="1"/>
  <c r="E48" i="2" s="1"/>
  <c r="E47" i="2" s="1"/>
  <c r="D49" i="2"/>
  <c r="D48" i="2" s="1"/>
  <c r="D47" i="2" s="1"/>
  <c r="C49" i="2"/>
  <c r="C48" i="2" s="1"/>
  <c r="C47" i="2" s="1"/>
  <c r="G50" i="2"/>
  <c r="F49" i="2"/>
  <c r="F48" i="2" s="1"/>
  <c r="F47" i="2" s="1"/>
  <c r="B49" i="2"/>
  <c r="B48" i="2" s="1"/>
  <c r="B47" i="2" s="1"/>
  <c r="G13" i="1"/>
  <c r="F13" i="1"/>
  <c r="D22" i="1"/>
  <c r="D28" i="1"/>
  <c r="E17" i="1"/>
  <c r="G49" i="2" l="1"/>
  <c r="G48" i="2" l="1"/>
  <c r="G47" i="2" l="1"/>
  <c r="F448" i="11" l="1"/>
  <c r="F439" i="11"/>
  <c r="F418" i="11"/>
  <c r="F399" i="11"/>
  <c r="F355" i="11"/>
  <c r="F352" i="11"/>
  <c r="F351" i="11"/>
  <c r="F349" i="11"/>
  <c r="F340" i="11"/>
  <c r="F336" i="11"/>
  <c r="F319" i="11"/>
  <c r="F315" i="11"/>
  <c r="F313" i="11"/>
  <c r="F311" i="11"/>
  <c r="F310" i="11"/>
  <c r="F309" i="11"/>
  <c r="F307" i="11"/>
  <c r="F306" i="11"/>
  <c r="F304" i="11"/>
  <c r="F303" i="11"/>
  <c r="F302" i="11"/>
  <c r="F299" i="11"/>
  <c r="F297" i="11"/>
  <c r="F274" i="11"/>
  <c r="F272" i="11"/>
  <c r="F270" i="11"/>
  <c r="F268" i="11"/>
  <c r="F267" i="11"/>
  <c r="F266" i="11"/>
  <c r="F231" i="11"/>
  <c r="F230" i="11"/>
  <c r="F213" i="11"/>
  <c r="F206" i="11"/>
  <c r="F203" i="11"/>
  <c r="F201" i="11"/>
  <c r="F198" i="11"/>
  <c r="F186" i="11"/>
  <c r="F175" i="11"/>
  <c r="F173" i="11"/>
  <c r="F162" i="11"/>
  <c r="F159" i="11"/>
  <c r="F156" i="11"/>
  <c r="F155" i="11"/>
  <c r="F154" i="11"/>
  <c r="F153" i="11"/>
  <c r="F152" i="11"/>
  <c r="F148" i="11"/>
  <c r="F147" i="11"/>
  <c r="F146" i="11"/>
  <c r="F145" i="11"/>
  <c r="F144" i="11"/>
  <c r="F143" i="11"/>
  <c r="F142" i="11"/>
  <c r="F141" i="11"/>
  <c r="F140" i="11"/>
  <c r="F138" i="11"/>
  <c r="F137" i="11"/>
  <c r="F136" i="11"/>
  <c r="F135" i="11"/>
  <c r="F134" i="11"/>
  <c r="F132" i="11"/>
  <c r="F131" i="11"/>
  <c r="F130" i="11"/>
  <c r="E308" i="11"/>
  <c r="E200" i="11"/>
  <c r="D447" i="11"/>
  <c r="D446" i="11" s="1"/>
  <c r="E447" i="11"/>
  <c r="E446" i="11" s="1"/>
  <c r="E445" i="11" s="1"/>
  <c r="D438" i="11"/>
  <c r="D437" i="11" s="1"/>
  <c r="D436" i="11" s="1"/>
  <c r="E438" i="11"/>
  <c r="E437" i="11" s="1"/>
  <c r="E436" i="11" s="1"/>
  <c r="D416" i="11"/>
  <c r="E416" i="11"/>
  <c r="E415" i="11" s="1"/>
  <c r="D397" i="11"/>
  <c r="D396" i="11" s="1"/>
  <c r="E397" i="11"/>
  <c r="E396" i="11" s="1"/>
  <c r="D353" i="11"/>
  <c r="E354" i="11"/>
  <c r="D350" i="11"/>
  <c r="E350" i="11"/>
  <c r="D348" i="11"/>
  <c r="E348" i="11"/>
  <c r="D339" i="11"/>
  <c r="D338" i="11" s="1"/>
  <c r="E339" i="11"/>
  <c r="E338" i="11" s="1"/>
  <c r="D334" i="11"/>
  <c r="D318" i="11"/>
  <c r="D317" i="11" s="1"/>
  <c r="E318" i="11"/>
  <c r="E317" i="11" s="1"/>
  <c r="D312" i="11"/>
  <c r="E312" i="11"/>
  <c r="D308" i="11"/>
  <c r="D305" i="11"/>
  <c r="E305" i="11"/>
  <c r="D301" i="11"/>
  <c r="E301" i="11"/>
  <c r="D296" i="11"/>
  <c r="E296" i="11"/>
  <c r="E295" i="11" s="1"/>
  <c r="D281" i="11"/>
  <c r="D280" i="11" s="1"/>
  <c r="E281" i="11"/>
  <c r="E280" i="11" s="1"/>
  <c r="D273" i="11"/>
  <c r="E273" i="11"/>
  <c r="D271" i="11"/>
  <c r="E271" i="11"/>
  <c r="D269" i="11"/>
  <c r="E269" i="11"/>
  <c r="D265" i="11"/>
  <c r="E265" i="11"/>
  <c r="D212" i="11"/>
  <c r="D204" i="11" s="1"/>
  <c r="E212" i="11"/>
  <c r="E204" i="11" s="1"/>
  <c r="D202" i="11"/>
  <c r="E202" i="11"/>
  <c r="D200" i="11"/>
  <c r="F197" i="11"/>
  <c r="D185" i="11"/>
  <c r="D184" i="11" s="1"/>
  <c r="D183" i="11" s="1"/>
  <c r="E185" i="11"/>
  <c r="E184" i="11" s="1"/>
  <c r="E183" i="11" s="1"/>
  <c r="D172" i="11"/>
  <c r="D171" i="11" s="1"/>
  <c r="D170" i="11" s="1"/>
  <c r="E172" i="11"/>
  <c r="E171" i="11" s="1"/>
  <c r="E170" i="11" s="1"/>
  <c r="D161" i="11"/>
  <c r="D160" i="11" s="1"/>
  <c r="E161" i="11"/>
  <c r="D158" i="11"/>
  <c r="D157" i="11" s="1"/>
  <c r="E158" i="11"/>
  <c r="E157" i="11" s="1"/>
  <c r="D151" i="11"/>
  <c r="E151" i="11"/>
  <c r="D149" i="11"/>
  <c r="E149" i="11"/>
  <c r="D139" i="11"/>
  <c r="E139" i="11"/>
  <c r="E133" i="11"/>
  <c r="D133" i="11"/>
  <c r="E129" i="11"/>
  <c r="D129" i="11"/>
  <c r="C447" i="11"/>
  <c r="C446" i="11" s="1"/>
  <c r="C445" i="11" s="1"/>
  <c r="C416" i="11"/>
  <c r="C415" i="11" s="1"/>
  <c r="C438" i="11"/>
  <c r="C437" i="11" s="1"/>
  <c r="C436" i="11" s="1"/>
  <c r="C397" i="11"/>
  <c r="C396" i="11" s="1"/>
  <c r="C348" i="11"/>
  <c r="C350" i="11"/>
  <c r="C354" i="11"/>
  <c r="C353" i="11" s="1"/>
  <c r="C318" i="11"/>
  <c r="C317" i="11" s="1"/>
  <c r="C296" i="11"/>
  <c r="C334" i="11"/>
  <c r="C339" i="11"/>
  <c r="C338" i="11" s="1"/>
  <c r="C312" i="11"/>
  <c r="C308" i="11"/>
  <c r="C305" i="11"/>
  <c r="C301" i="11"/>
  <c r="C281" i="11"/>
  <c r="C280" i="11" s="1"/>
  <c r="C265" i="11"/>
  <c r="C269" i="11"/>
  <c r="C271" i="11"/>
  <c r="C273" i="11"/>
  <c r="C200" i="11"/>
  <c r="C202" i="11"/>
  <c r="C212" i="11"/>
  <c r="C204" i="11" s="1"/>
  <c r="C185" i="11"/>
  <c r="C184" i="11" s="1"/>
  <c r="C183" i="11" s="1"/>
  <c r="C172" i="11"/>
  <c r="C171" i="11" s="1"/>
  <c r="C170" i="11" s="1"/>
  <c r="D295" i="11" l="1"/>
  <c r="C295" i="11"/>
  <c r="F208" i="11"/>
  <c r="F210" i="11"/>
  <c r="C328" i="11"/>
  <c r="D328" i="11"/>
  <c r="F170" i="11"/>
  <c r="F202" i="11"/>
  <c r="F282" i="11"/>
  <c r="F271" i="11"/>
  <c r="F396" i="11"/>
  <c r="F129" i="11"/>
  <c r="F335" i="11"/>
  <c r="F314" i="11"/>
  <c r="F298" i="11"/>
  <c r="F354" i="11"/>
  <c r="F183" i="11"/>
  <c r="F265" i="11"/>
  <c r="F305" i="11"/>
  <c r="F338" i="11"/>
  <c r="F312" i="11"/>
  <c r="F269" i="11"/>
  <c r="F205" i="11"/>
  <c r="F273" i="11"/>
  <c r="F348" i="11"/>
  <c r="F161" i="11"/>
  <c r="E160" i="11"/>
  <c r="F160" i="11" s="1"/>
  <c r="F133" i="11"/>
  <c r="F224" i="11"/>
  <c r="E353" i="11"/>
  <c r="F353" i="11" s="1"/>
  <c r="F301" i="11"/>
  <c r="F200" i="11"/>
  <c r="F398" i="11"/>
  <c r="F151" i="11"/>
  <c r="F308" i="11"/>
  <c r="F157" i="11"/>
  <c r="F296" i="11"/>
  <c r="F212" i="11"/>
  <c r="F350" i="11"/>
  <c r="F185" i="11"/>
  <c r="D445" i="11"/>
  <c r="F445" i="11" s="1"/>
  <c r="F446" i="11"/>
  <c r="F447" i="11"/>
  <c r="F436" i="11"/>
  <c r="F437" i="11"/>
  <c r="F438" i="11"/>
  <c r="D415" i="11"/>
  <c r="F415" i="11" s="1"/>
  <c r="F416" i="11"/>
  <c r="F417" i="11"/>
  <c r="F397" i="11"/>
  <c r="E347" i="11"/>
  <c r="D347" i="11"/>
  <c r="D346" i="11" s="1"/>
  <c r="F339" i="11"/>
  <c r="E334" i="11"/>
  <c r="F317" i="11"/>
  <c r="F318" i="11"/>
  <c r="F228" i="11"/>
  <c r="F229" i="11"/>
  <c r="D196" i="11"/>
  <c r="F184" i="11"/>
  <c r="F171" i="11"/>
  <c r="F172" i="11"/>
  <c r="F158" i="11"/>
  <c r="F139" i="11"/>
  <c r="D128" i="11"/>
  <c r="D127" i="11" s="1"/>
  <c r="E196" i="11"/>
  <c r="D300" i="11"/>
  <c r="E300" i="11"/>
  <c r="E294" i="11" s="1"/>
  <c r="D264" i="11"/>
  <c r="D257" i="11" s="1"/>
  <c r="E264" i="11"/>
  <c r="E257" i="11" s="1"/>
  <c r="E128" i="11"/>
  <c r="C347" i="11"/>
  <c r="C346" i="11" s="1"/>
  <c r="C300" i="11"/>
  <c r="C264" i="11"/>
  <c r="C257" i="11" s="1"/>
  <c r="C196" i="11"/>
  <c r="C161" i="11"/>
  <c r="C160" i="11" s="1"/>
  <c r="C158" i="11"/>
  <c r="C157" i="11" s="1"/>
  <c r="C151" i="11"/>
  <c r="C149" i="11"/>
  <c r="C139" i="11"/>
  <c r="C133" i="11"/>
  <c r="C129" i="11"/>
  <c r="F104" i="11"/>
  <c r="F94" i="11"/>
  <c r="F84" i="11"/>
  <c r="F72" i="11"/>
  <c r="F64" i="11"/>
  <c r="F62" i="11"/>
  <c r="F61" i="11"/>
  <c r="F59" i="11"/>
  <c r="F56" i="11"/>
  <c r="F47" i="11"/>
  <c r="F44" i="11"/>
  <c r="F41" i="11"/>
  <c r="F29" i="11"/>
  <c r="F20" i="11"/>
  <c r="F19" i="11"/>
  <c r="E103" i="11"/>
  <c r="E102" i="11" s="1"/>
  <c r="E105" i="11" s="1"/>
  <c r="D103" i="11"/>
  <c r="D102" i="11" s="1"/>
  <c r="D105" i="11" s="1"/>
  <c r="C103" i="11"/>
  <c r="C102" i="11" s="1"/>
  <c r="C105" i="11" s="1"/>
  <c r="E92" i="11"/>
  <c r="E96" i="11" s="1"/>
  <c r="D92" i="11"/>
  <c r="D96" i="11" s="1"/>
  <c r="C92" i="11"/>
  <c r="C96" i="11" s="1"/>
  <c r="E82" i="11"/>
  <c r="E86" i="11" s="1"/>
  <c r="D82" i="11"/>
  <c r="C82" i="11"/>
  <c r="C86" i="11" s="1"/>
  <c r="E28" i="11"/>
  <c r="D28" i="11"/>
  <c r="C28" i="11"/>
  <c r="C27" i="11" s="1"/>
  <c r="C33" i="11" s="1"/>
  <c r="E46" i="11"/>
  <c r="D46" i="11"/>
  <c r="D45" i="11" s="1"/>
  <c r="C46" i="11"/>
  <c r="C45" i="11" s="1"/>
  <c r="E18" i="11"/>
  <c r="E17" i="11" s="1"/>
  <c r="E21" i="11" s="1"/>
  <c r="D18" i="11"/>
  <c r="D17" i="11" s="1"/>
  <c r="D21" i="11" s="1"/>
  <c r="C18" i="11"/>
  <c r="C17" i="11" s="1"/>
  <c r="C21" i="11" s="1"/>
  <c r="E71" i="11"/>
  <c r="D71" i="11"/>
  <c r="D74" i="11" s="1"/>
  <c r="C71" i="11"/>
  <c r="C74" i="11" s="1"/>
  <c r="E43" i="11"/>
  <c r="E42" i="11" s="1"/>
  <c r="D43" i="11"/>
  <c r="D42" i="11" s="1"/>
  <c r="C43" i="11"/>
  <c r="C42" i="11" s="1"/>
  <c r="E40" i="11"/>
  <c r="E39" i="11" s="1"/>
  <c r="D40" i="11"/>
  <c r="D39" i="11" s="1"/>
  <c r="C40" i="11"/>
  <c r="C39" i="11" s="1"/>
  <c r="E63" i="11"/>
  <c r="D63" i="11"/>
  <c r="C63" i="11"/>
  <c r="E60" i="11"/>
  <c r="D60" i="11"/>
  <c r="C60" i="11"/>
  <c r="C58" i="11"/>
  <c r="W48" i="3"/>
  <c r="W46" i="3"/>
  <c r="W45" i="3"/>
  <c r="W43" i="3"/>
  <c r="W42" i="3"/>
  <c r="W40" i="3"/>
  <c r="W39" i="3"/>
  <c r="W37" i="3"/>
  <c r="W36" i="3"/>
  <c r="W28" i="3"/>
  <c r="W25" i="3"/>
  <c r="W22" i="3"/>
  <c r="W20" i="3"/>
  <c r="W19" i="3"/>
  <c r="W16" i="3"/>
  <c r="W15" i="3"/>
  <c r="U37" i="3"/>
  <c r="U36" i="3"/>
  <c r="U25" i="3"/>
  <c r="U22" i="3"/>
  <c r="U19" i="3"/>
  <c r="U16" i="3"/>
  <c r="U15" i="3"/>
  <c r="S24" i="3"/>
  <c r="Q24" i="3"/>
  <c r="O24" i="3"/>
  <c r="M24" i="3"/>
  <c r="S21" i="3"/>
  <c r="Q21" i="3"/>
  <c r="O21" i="3"/>
  <c r="M21" i="3"/>
  <c r="S18" i="3"/>
  <c r="O32" i="3"/>
  <c r="M18" i="3"/>
  <c r="C294" i="11" l="1"/>
  <c r="D294" i="11"/>
  <c r="F225" i="11"/>
  <c r="C116" i="11"/>
  <c r="D54" i="11"/>
  <c r="D65" i="11" s="1"/>
  <c r="E54" i="11"/>
  <c r="C54" i="11"/>
  <c r="C65" i="11" s="1"/>
  <c r="E116" i="11"/>
  <c r="F334" i="11"/>
  <c r="E328" i="11"/>
  <c r="F328" i="11" s="1"/>
  <c r="C195" i="11"/>
  <c r="D195" i="11"/>
  <c r="E195" i="11"/>
  <c r="F196" i="11"/>
  <c r="U24" i="3"/>
  <c r="W21" i="3"/>
  <c r="W24" i="3"/>
  <c r="W18" i="3"/>
  <c r="U21" i="3"/>
  <c r="U18" i="3"/>
  <c r="F347" i="11"/>
  <c r="E346" i="11"/>
  <c r="F346" i="11" s="1"/>
  <c r="F300" i="11"/>
  <c r="F295" i="11"/>
  <c r="F280" i="11"/>
  <c r="F281" i="11"/>
  <c r="F257" i="11"/>
  <c r="F264" i="11"/>
  <c r="F204" i="11"/>
  <c r="E127" i="11"/>
  <c r="F127" i="11" s="1"/>
  <c r="F128" i="11"/>
  <c r="F105" i="11"/>
  <c r="F42" i="11"/>
  <c r="F55" i="11"/>
  <c r="F71" i="11"/>
  <c r="F17" i="11"/>
  <c r="F39" i="11"/>
  <c r="F63" i="11"/>
  <c r="C128" i="11"/>
  <c r="C127" i="11" s="1"/>
  <c r="F28" i="11"/>
  <c r="F46" i="11"/>
  <c r="E74" i="11"/>
  <c r="F74" i="11" s="1"/>
  <c r="F58" i="11"/>
  <c r="F60" i="11"/>
  <c r="F96" i="11"/>
  <c r="C48" i="11"/>
  <c r="F82" i="11"/>
  <c r="D86" i="11"/>
  <c r="F18" i="11"/>
  <c r="F43" i="11"/>
  <c r="F92" i="11"/>
  <c r="F93" i="11"/>
  <c r="F21" i="11"/>
  <c r="D48" i="11"/>
  <c r="F103" i="11"/>
  <c r="F102" i="11"/>
  <c r="F40" i="11"/>
  <c r="F83" i="11"/>
  <c r="D27" i="11"/>
  <c r="D33" i="11" s="1"/>
  <c r="E27" i="11"/>
  <c r="E33" i="11" s="1"/>
  <c r="E45" i="11"/>
  <c r="S38" i="3"/>
  <c r="Q38" i="3"/>
  <c r="O38" i="3"/>
  <c r="M38" i="3"/>
  <c r="S50" i="3"/>
  <c r="Q50" i="3"/>
  <c r="O50" i="3"/>
  <c r="M50" i="3"/>
  <c r="S47" i="3"/>
  <c r="Q47" i="3"/>
  <c r="O47" i="3"/>
  <c r="M47" i="3"/>
  <c r="U47" i="3" s="1"/>
  <c r="S44" i="3"/>
  <c r="Q44" i="3"/>
  <c r="O44" i="3"/>
  <c r="M44" i="3"/>
  <c r="S41" i="3"/>
  <c r="Q41" i="3"/>
  <c r="O41" i="3"/>
  <c r="M41" i="3"/>
  <c r="S35" i="3"/>
  <c r="Q35" i="3"/>
  <c r="O35" i="3"/>
  <c r="M35" i="3"/>
  <c r="S30" i="3"/>
  <c r="Q30" i="3"/>
  <c r="O30" i="3"/>
  <c r="M30" i="3"/>
  <c r="W27" i="3"/>
  <c r="C115" i="11" l="1"/>
  <c r="C117" i="11" s="1"/>
  <c r="U44" i="3"/>
  <c r="U38" i="3"/>
  <c r="U41" i="3"/>
  <c r="W30" i="3"/>
  <c r="U14" i="3"/>
  <c r="F86" i="11"/>
  <c r="D116" i="11"/>
  <c r="F195" i="11"/>
  <c r="W44" i="3"/>
  <c r="W41" i="3"/>
  <c r="W35" i="3"/>
  <c r="W38" i="3"/>
  <c r="W47" i="3"/>
  <c r="U35" i="3"/>
  <c r="W14" i="3"/>
  <c r="F294" i="11"/>
  <c r="D115" i="11"/>
  <c r="E48" i="11"/>
  <c r="F48" i="11" s="1"/>
  <c r="F45" i="11"/>
  <c r="E65" i="11"/>
  <c r="F65" i="11" s="1"/>
  <c r="F54" i="11"/>
  <c r="F27" i="11"/>
  <c r="S53" i="3"/>
  <c r="Q53" i="3"/>
  <c r="M53" i="3"/>
  <c r="O53" i="3"/>
  <c r="Q32" i="3"/>
  <c r="S32" i="3"/>
  <c r="M32" i="3"/>
  <c r="G119" i="2"/>
  <c r="G117" i="2"/>
  <c r="G116" i="2"/>
  <c r="G113" i="2"/>
  <c r="G109" i="2"/>
  <c r="G104" i="2"/>
  <c r="G100" i="2"/>
  <c r="G98" i="2"/>
  <c r="G95" i="2"/>
  <c r="G94" i="2"/>
  <c r="G93" i="2"/>
  <c r="G92" i="2"/>
  <c r="G91" i="2"/>
  <c r="G90" i="2"/>
  <c r="G88" i="2"/>
  <c r="G86" i="2"/>
  <c r="G85" i="2"/>
  <c r="G84" i="2"/>
  <c r="G83" i="2"/>
  <c r="G82" i="2"/>
  <c r="G81" i="2"/>
  <c r="G80" i="2"/>
  <c r="G79" i="2"/>
  <c r="G78" i="2"/>
  <c r="G76" i="2"/>
  <c r="G75" i="2"/>
  <c r="G74" i="2"/>
  <c r="G73" i="2"/>
  <c r="G72" i="2"/>
  <c r="G71" i="2"/>
  <c r="G69" i="2"/>
  <c r="G68" i="2"/>
  <c r="G67" i="2"/>
  <c r="G66" i="2"/>
  <c r="G63" i="2"/>
  <c r="G62" i="2"/>
  <c r="G59" i="2"/>
  <c r="G57" i="2"/>
  <c r="G56" i="2"/>
  <c r="G55" i="2"/>
  <c r="G46" i="2"/>
  <c r="G43" i="2"/>
  <c r="G42" i="2"/>
  <c r="G38" i="2"/>
  <c r="G36" i="2"/>
  <c r="G33" i="2"/>
  <c r="G30" i="2"/>
  <c r="G27" i="2"/>
  <c r="G23" i="2"/>
  <c r="G22" i="2"/>
  <c r="G20" i="2"/>
  <c r="G17" i="2"/>
  <c r="F119" i="2"/>
  <c r="F117" i="2"/>
  <c r="F113" i="2"/>
  <c r="F109" i="2"/>
  <c r="F104" i="2"/>
  <c r="F100" i="2"/>
  <c r="F98" i="2"/>
  <c r="F95" i="2"/>
  <c r="F94" i="2"/>
  <c r="F93" i="2"/>
  <c r="F92" i="2"/>
  <c r="F91" i="2"/>
  <c r="F90" i="2"/>
  <c r="F86" i="2"/>
  <c r="F85" i="2"/>
  <c r="F84" i="2"/>
  <c r="F83" i="2"/>
  <c r="F82" i="2"/>
  <c r="F81" i="2"/>
  <c r="F80" i="2"/>
  <c r="F79" i="2"/>
  <c r="F78" i="2"/>
  <c r="F76" i="2"/>
  <c r="F75" i="2"/>
  <c r="F74" i="2"/>
  <c r="F73" i="2"/>
  <c r="F72" i="2"/>
  <c r="F71" i="2"/>
  <c r="F69" i="2"/>
  <c r="F68" i="2"/>
  <c r="F67" i="2"/>
  <c r="F66" i="2"/>
  <c r="F63" i="2"/>
  <c r="F62" i="2"/>
  <c r="F59" i="2"/>
  <c r="F57" i="2"/>
  <c r="F56" i="2"/>
  <c r="F55" i="2"/>
  <c r="F43" i="2"/>
  <c r="F42" i="2"/>
  <c r="F39" i="2"/>
  <c r="F38" i="2"/>
  <c r="F36" i="2"/>
  <c r="F33" i="2"/>
  <c r="F27" i="2"/>
  <c r="F23" i="2"/>
  <c r="F22" i="2"/>
  <c r="F20" i="2"/>
  <c r="F17" i="2"/>
  <c r="D58" i="2"/>
  <c r="D60" i="2"/>
  <c r="B103" i="2"/>
  <c r="B102" i="2" s="1"/>
  <c r="B87" i="2"/>
  <c r="B58" i="2"/>
  <c r="E118" i="2"/>
  <c r="D118" i="2"/>
  <c r="B118" i="2"/>
  <c r="E112" i="2"/>
  <c r="D112" i="2"/>
  <c r="E108" i="2"/>
  <c r="E105" i="2" s="1"/>
  <c r="D108" i="2"/>
  <c r="D105" i="2" s="1"/>
  <c r="B108" i="2"/>
  <c r="E103" i="2"/>
  <c r="E102" i="2" s="1"/>
  <c r="D102" i="2"/>
  <c r="E97" i="2"/>
  <c r="E96" i="2" s="1"/>
  <c r="D97" i="2"/>
  <c r="D96" i="2" s="1"/>
  <c r="E89" i="2"/>
  <c r="D89" i="2"/>
  <c r="E87" i="2"/>
  <c r="D87" i="2"/>
  <c r="E77" i="2"/>
  <c r="D77" i="2"/>
  <c r="E70" i="2"/>
  <c r="D70" i="2"/>
  <c r="E65" i="2"/>
  <c r="D65" i="2"/>
  <c r="E60" i="2"/>
  <c r="E58" i="2"/>
  <c r="E54" i="2"/>
  <c r="D54" i="2"/>
  <c r="C118" i="2"/>
  <c r="C112" i="2"/>
  <c r="C108" i="2"/>
  <c r="C103" i="2"/>
  <c r="C102" i="2" s="1"/>
  <c r="C97" i="2"/>
  <c r="C96" i="2" s="1"/>
  <c r="C89" i="2"/>
  <c r="C87" i="2"/>
  <c r="C70" i="2"/>
  <c r="C65" i="2"/>
  <c r="C60" i="2"/>
  <c r="C58" i="2"/>
  <c r="C54" i="2"/>
  <c r="E45" i="2"/>
  <c r="E44" i="2" s="1"/>
  <c r="D45" i="2"/>
  <c r="D44" i="2" s="1"/>
  <c r="B45" i="2"/>
  <c r="B44" i="2" s="1"/>
  <c r="E41" i="2"/>
  <c r="E40" i="2" s="1"/>
  <c r="D41" i="2"/>
  <c r="D40" i="2" s="1"/>
  <c r="B41" i="2"/>
  <c r="B40" i="2" s="1"/>
  <c r="E37" i="2"/>
  <c r="D37" i="2"/>
  <c r="B37" i="2"/>
  <c r="E35" i="2"/>
  <c r="D35" i="2"/>
  <c r="B35" i="2"/>
  <c r="E32" i="2"/>
  <c r="E31" i="2" s="1"/>
  <c r="D32" i="2"/>
  <c r="D31" i="2" s="1"/>
  <c r="B32" i="2"/>
  <c r="B31" i="2" s="1"/>
  <c r="E29" i="2"/>
  <c r="E28" i="2" s="1"/>
  <c r="D29" i="2"/>
  <c r="D28" i="2" s="1"/>
  <c r="B29" i="2"/>
  <c r="B28" i="2" s="1"/>
  <c r="E26" i="2"/>
  <c r="D26" i="2"/>
  <c r="B26" i="2"/>
  <c r="E24" i="2"/>
  <c r="D24" i="2"/>
  <c r="B24" i="2"/>
  <c r="E21" i="2"/>
  <c r="D21" i="2"/>
  <c r="B21" i="2"/>
  <c r="E19" i="2"/>
  <c r="D19" i="2"/>
  <c r="G19" i="2" s="1"/>
  <c r="B19" i="2"/>
  <c r="F16" i="2"/>
  <c r="C41" i="2"/>
  <c r="C40" i="2" s="1"/>
  <c r="C45" i="2"/>
  <c r="C44" i="2" s="1"/>
  <c r="C37" i="2"/>
  <c r="C35" i="2"/>
  <c r="C32" i="2"/>
  <c r="C31" i="2" s="1"/>
  <c r="C29" i="2"/>
  <c r="C28" i="2" s="1"/>
  <c r="C26" i="2"/>
  <c r="C24" i="2"/>
  <c r="C21" i="2"/>
  <c r="C19" i="2"/>
  <c r="G26" i="2" l="1"/>
  <c r="G58" i="2"/>
  <c r="G105" i="2"/>
  <c r="G112" i="2"/>
  <c r="G87" i="2"/>
  <c r="G60" i="2"/>
  <c r="F102" i="2"/>
  <c r="F26" i="2"/>
  <c r="U53" i="3"/>
  <c r="W53" i="3"/>
  <c r="W32" i="3"/>
  <c r="U32" i="3"/>
  <c r="G102" i="2"/>
  <c r="G103" i="2"/>
  <c r="G89" i="2"/>
  <c r="G70" i="2"/>
  <c r="G65" i="2"/>
  <c r="F37" i="2"/>
  <c r="G21" i="2"/>
  <c r="F21" i="2"/>
  <c r="G35" i="2"/>
  <c r="D111" i="2"/>
  <c r="D110" i="2" s="1"/>
  <c r="G54" i="2"/>
  <c r="C111" i="2"/>
  <c r="C110" i="2" s="1"/>
  <c r="G118" i="2"/>
  <c r="G97" i="2"/>
  <c r="G96" i="2"/>
  <c r="G77" i="2"/>
  <c r="C64" i="2"/>
  <c r="C53" i="2"/>
  <c r="G40" i="2"/>
  <c r="G37" i="2"/>
  <c r="C34" i="2"/>
  <c r="G31" i="2"/>
  <c r="G32" i="2"/>
  <c r="G28" i="2"/>
  <c r="G16" i="2"/>
  <c r="F118" i="2"/>
  <c r="F105" i="2"/>
  <c r="F108" i="2"/>
  <c r="G108" i="2"/>
  <c r="F58" i="2"/>
  <c r="G44" i="2"/>
  <c r="F40" i="2"/>
  <c r="G41" i="2"/>
  <c r="F19" i="2"/>
  <c r="F103" i="2"/>
  <c r="F41" i="2"/>
  <c r="B34" i="2"/>
  <c r="F35" i="2"/>
  <c r="F32" i="2"/>
  <c r="G45" i="2"/>
  <c r="F31" i="2"/>
  <c r="G29" i="2"/>
  <c r="D117" i="11"/>
  <c r="F116" i="11"/>
  <c r="F33" i="11"/>
  <c r="E115" i="11"/>
  <c r="B15" i="2"/>
  <c r="E64" i="2"/>
  <c r="E53" i="2"/>
  <c r="E34" i="2"/>
  <c r="E15" i="2"/>
  <c r="D64" i="2"/>
  <c r="D53" i="2"/>
  <c r="B97" i="2"/>
  <c r="B60" i="2"/>
  <c r="B112" i="2"/>
  <c r="B89" i="2"/>
  <c r="F89" i="2" s="1"/>
  <c r="B54" i="2"/>
  <c r="F54" i="2" s="1"/>
  <c r="B77" i="2"/>
  <c r="F77" i="2" s="1"/>
  <c r="B70" i="2"/>
  <c r="F70" i="2" s="1"/>
  <c r="B65" i="2"/>
  <c r="F65" i="2" s="1"/>
  <c r="E111" i="2"/>
  <c r="D34" i="2"/>
  <c r="D15" i="2"/>
  <c r="C15" i="2"/>
  <c r="E28" i="1"/>
  <c r="C28" i="1"/>
  <c r="B28" i="1"/>
  <c r="E22" i="1"/>
  <c r="C22" i="1"/>
  <c r="B22" i="1"/>
  <c r="D17" i="1"/>
  <c r="C17" i="1"/>
  <c r="B17" i="1"/>
  <c r="G25" i="1"/>
  <c r="G16" i="1"/>
  <c r="G15" i="1"/>
  <c r="G12" i="1"/>
  <c r="F25" i="1"/>
  <c r="F16" i="1"/>
  <c r="F15" i="1"/>
  <c r="F12" i="1"/>
  <c r="E14" i="1"/>
  <c r="D14" i="1"/>
  <c r="C14" i="1"/>
  <c r="B14" i="1"/>
  <c r="C14" i="2" l="1"/>
  <c r="C13" i="2" s="1"/>
  <c r="C52" i="2"/>
  <c r="C51" i="2" s="1"/>
  <c r="G64" i="2"/>
  <c r="G53" i="2"/>
  <c r="G34" i="2"/>
  <c r="E110" i="2"/>
  <c r="G110" i="2" s="1"/>
  <c r="G111" i="2"/>
  <c r="F34" i="2"/>
  <c r="E14" i="2"/>
  <c r="G15" i="2"/>
  <c r="B111" i="2"/>
  <c r="F112" i="2"/>
  <c r="B96" i="2"/>
  <c r="F96" i="2" s="1"/>
  <c r="F97" i="2"/>
  <c r="B14" i="2"/>
  <c r="B13" i="2" s="1"/>
  <c r="F15" i="2"/>
  <c r="G17" i="1"/>
  <c r="E117" i="11"/>
  <c r="F117" i="11" s="1"/>
  <c r="F115" i="11"/>
  <c r="E52" i="2"/>
  <c r="D52" i="2"/>
  <c r="D51" i="2" s="1"/>
  <c r="B53" i="2"/>
  <c r="F53" i="2" s="1"/>
  <c r="B64" i="2"/>
  <c r="F64" i="2" s="1"/>
  <c r="D14" i="2"/>
  <c r="D13" i="2" s="1"/>
  <c r="D18" i="1"/>
  <c r="D30" i="1" s="1"/>
  <c r="C18" i="1"/>
  <c r="C23" i="1" s="1"/>
  <c r="B18" i="1"/>
  <c r="B23" i="1" s="1"/>
  <c r="E18" i="1"/>
  <c r="E30" i="1" s="1"/>
  <c r="G14" i="1"/>
  <c r="F14" i="1"/>
  <c r="F28" i="1"/>
  <c r="G28" i="1"/>
  <c r="F17" i="1"/>
  <c r="G30" i="1" l="1"/>
  <c r="E13" i="2"/>
  <c r="E51" i="2"/>
  <c r="G52" i="2"/>
  <c r="F14" i="2"/>
  <c r="G14" i="2"/>
  <c r="B110" i="2"/>
  <c r="F110" i="2" s="1"/>
  <c r="F111" i="2"/>
  <c r="E23" i="1"/>
  <c r="F23" i="1" s="1"/>
  <c r="D23" i="1"/>
  <c r="G18" i="1"/>
  <c r="C30" i="1"/>
  <c r="B30" i="1"/>
  <c r="F30" i="1" s="1"/>
  <c r="F18" i="1"/>
  <c r="B51" i="2" l="1"/>
  <c r="F52" i="2"/>
  <c r="G23" i="1"/>
  <c r="F15" i="13"/>
  <c r="B14" i="13"/>
  <c r="B13" i="13" s="1"/>
  <c r="F13" i="13" s="1"/>
  <c r="F14" i="13" l="1"/>
</calcChain>
</file>

<file path=xl/sharedStrings.xml><?xml version="1.0" encoding="utf-8"?>
<sst xmlns="http://schemas.openxmlformats.org/spreadsheetml/2006/main" count="996" uniqueCount="383">
  <si>
    <t/>
  </si>
  <si>
    <t>Račun / opis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</si>
  <si>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</si>
  <si>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</si>
  <si>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</si>
  <si>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</si>
  <si>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</si>
  <si>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</si>
  <si>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</si>
  <si>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</si>
  <si>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</si>
  <si>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 xml:space="preserve">6 Prihodi poslovanja                                                                                  </t>
  </si>
  <si>
    <t xml:space="preserve"> UKUPNI PRIHODI</t>
  </si>
  <si>
    <t>3 Rashodi poslovanja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</si>
  <si>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</si>
  <si>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</si>
  <si>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</si>
  <si>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</si>
  <si>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>Prihodi i rashodi prema ekonomskoj klasifikaciji</t>
  </si>
  <si>
    <t>63 Pomoći iz inozemstva i od subjekata unutar općeg proračuna</t>
  </si>
  <si>
    <t>634 Pomoći od izvanproračunskih korisnika</t>
  </si>
  <si>
    <t xml:space="preserve">6341 Tekuće pomoći od izvanproračunskih korisnika 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</si>
  <si>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</si>
  <si>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</si>
  <si>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</si>
  <si>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</si>
  <si>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</si>
  <si>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639 Prijenosi između proračunskih korisnika istog proračuna</t>
  </si>
  <si>
    <t>6393 Tekući prijenosi između proračunskih korisnika istog proračuna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</si>
  <si>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</si>
  <si>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</si>
  <si>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65 Prihodi od upravnih i administrativnih pristojbi, pristojbi po posebnim propisima i naknada         </t>
  </si>
  <si>
    <t xml:space="preserve">652 Prihodi po posebnim propisima                                                                       </t>
  </si>
  <si>
    <t xml:space="preserve">6526 Ostali nespomenuti prihodi         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</si>
  <si>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</si>
  <si>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 države</t>
  </si>
  <si>
    <t xml:space="preserve">6631 Tekuće donacije                                                                                     </t>
  </si>
  <si>
    <t xml:space="preserve">6632 Kapitalne donacije                                                                                  </t>
  </si>
  <si>
    <t xml:space="preserve">68 Kazne, upravne mjere i ostali prihodi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</si>
  <si>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</si>
  <si>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</si>
  <si>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</si>
  <si>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</si>
  <si>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</si>
  <si>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3113 Plaće za prekovremeni rad                                                                           </t>
  </si>
  <si>
    <t xml:space="preserve">3114 Plaće za posebne uvjete rada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</si>
  <si>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</si>
  <si>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</si>
  <si>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</si>
  <si>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3131 Doprinosi za mirovinsko osiguranje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</si>
  <si>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</si>
  <si>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</si>
  <si>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</si>
  <si>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</si>
  <si>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</si>
  <si>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</si>
  <si>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</si>
  <si>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</si>
  <si>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</si>
  <si>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</si>
  <si>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</si>
  <si>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</si>
  <si>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</si>
  <si>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</si>
  <si>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</si>
  <si>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</si>
  <si>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</si>
  <si>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</si>
  <si>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</si>
  <si>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</si>
  <si>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</si>
  <si>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</si>
  <si>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</si>
  <si>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</si>
  <si>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329 Ostali nespomenuti rashodi poslovanja                                                               </t>
  </si>
  <si>
    <t xml:space="preserve">3293 Reprezentacija                                                                                      </t>
  </si>
  <si>
    <t>3294 Članarine</t>
  </si>
  <si>
    <t xml:space="preserve">3295 Pristojbe i naknade                                                                                 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</si>
  <si>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</si>
  <si>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</si>
  <si>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</si>
  <si>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</si>
  <si>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3433 Zatezne kamate                                                                                      </t>
  </si>
  <si>
    <t xml:space="preserve">3434 Ostali nespomenuti financijski rashodi                                                              </t>
  </si>
  <si>
    <t xml:space="preserve">38 Ostali rashodi                                                                                      </t>
  </si>
  <si>
    <t xml:space="preserve">383 Kazne, penali i naknade štete                   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</si>
  <si>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</si>
  <si>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</si>
  <si>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</si>
  <si>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4223 Oprema za održavanje i zaštitu                                                                      </t>
  </si>
  <si>
    <t xml:space="preserve">4226 Sportska i glazbena oprema                                                                          </t>
  </si>
  <si>
    <t xml:space="preserve">4227 Uređaji, strojevi i oprema za ostale namjene                                                        </t>
  </si>
  <si>
    <t>424 Knjige, umjetnička djela i ostalae izložbene vrijednosti</t>
  </si>
  <si>
    <t xml:space="preserve">4241 Knjige                                                                                              </t>
  </si>
  <si>
    <t>PRIHODI I RASHODI PREMA IZVORIMA FINANCIRANJA</t>
  </si>
  <si>
    <t>Izvor 1. OPĆI PRIHODI I PRIMICI</t>
  </si>
  <si>
    <t>Izvor 1.0. OPĆI PRIHODI I PRIMICI</t>
  </si>
  <si>
    <t>Izvor 1.1. OPĆI PRIHODI I PRIMICI - DEC OŠ</t>
  </si>
  <si>
    <t>Izvor 3. VLASTITI PRIHODI</t>
  </si>
  <si>
    <t>Izvor 3.3. VLASTITI PRIHODI PK - ŠKOLE</t>
  </si>
  <si>
    <t>Izvor 4. PRIHODI ZA POSEBNE NAMJENE</t>
  </si>
  <si>
    <t xml:space="preserve">Izvor 4.5. PRIHODI ZA POSEBNE NAMJENE PK - ŠKOLE </t>
  </si>
  <si>
    <t>Izvor 5. POMOĆI</t>
  </si>
  <si>
    <t>Izvor 5.2. POMOĆI PK - ŠKOLE</t>
  </si>
  <si>
    <t>Izvor 6. DONACIJE</t>
  </si>
  <si>
    <t>Izvor 6.3. DONACIJE PK - ŠKOLE</t>
  </si>
  <si>
    <t xml:space="preserve">Izvor 7. PRIHOD OD PRODAJE NEFINANCIJSKE IMOVINE </t>
  </si>
  <si>
    <t>Izvor 7.0. PRIHOD OD PRODAJE NEFINANCIJSKE IMOVINE I NADONADA ŠTETE</t>
  </si>
  <si>
    <t>Izvor 7.1. PRIHOD OD PRODAJE NEFINACIJSKE IMOVINE I NADOKNADA ŠTETE PK</t>
  </si>
  <si>
    <t>Izvor 4.9. PRIHOD ZA POSEBNE NAMJENE PK - ŠKOLE - REZULTAT PRETH. GOD</t>
  </si>
  <si>
    <t>Izvor 5.5. POMOĆI PK - ŠKOLE - REZULTAT PRETHODNE GODINE</t>
  </si>
  <si>
    <t xml:space="preserve">Izvor 6.4. DONACIJE PK - ŠKOLE - REZULTAT PRETHODNE GODINE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</si>
  <si>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</si>
  <si>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</si>
  <si>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</si>
  <si>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</si>
  <si>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3113</t>
  </si>
  <si>
    <t xml:space="preserve">Plaće za prekovremeni rad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</si>
  <si>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</si>
  <si>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</si>
  <si>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</si>
  <si>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</si>
  <si>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</si>
  <si>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</si>
  <si>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</si>
  <si>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</si>
  <si>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</si>
  <si>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</si>
  <si>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</si>
  <si>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</si>
  <si>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</si>
  <si>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</si>
  <si>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</si>
  <si>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</si>
  <si>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</si>
  <si>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</si>
  <si>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</si>
  <si>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</si>
  <si>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</si>
  <si>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</si>
  <si>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</si>
  <si>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</si>
  <si>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</si>
  <si>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</si>
  <si>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</si>
  <si>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</si>
  <si>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</si>
  <si>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</si>
  <si>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</si>
  <si>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</si>
  <si>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</si>
  <si>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</si>
  <si>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</si>
  <si>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</si>
  <si>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</si>
  <si>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</si>
  <si>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</si>
  <si>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</si>
  <si>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</si>
  <si>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</si>
  <si>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</si>
  <si>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</si>
  <si>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</si>
  <si>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</si>
  <si>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</si>
  <si>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</si>
  <si>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</si>
  <si>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</si>
  <si>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</si>
  <si>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</si>
  <si>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</si>
  <si>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</si>
  <si>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</si>
  <si>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</si>
  <si>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</si>
  <si>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Članarine</t>
  </si>
  <si>
    <t>3295</t>
  </si>
  <si>
    <t xml:space="preserve">Pristojbe i naknade                                                                                 </t>
  </si>
  <si>
    <t>3299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</si>
  <si>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</si>
  <si>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</si>
  <si>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</si>
  <si>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</si>
  <si>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372</t>
  </si>
  <si>
    <t xml:space="preserve">Ostale naknade građanima i kućanstvima iz proračuna                                                 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</si>
  <si>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</si>
  <si>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</si>
  <si>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</si>
  <si>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</si>
  <si>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4227</t>
  </si>
  <si>
    <t xml:space="preserve">Uređaji, strojevi i oprema za ostale namjene                                                        </t>
  </si>
  <si>
    <t xml:space="preserve">Tekuće donacije                                                                                     </t>
  </si>
  <si>
    <t xml:space="preserve">Kapitalne donacije                                                                                  </t>
  </si>
  <si>
    <t>3214</t>
  </si>
  <si>
    <t xml:space="preserve">Ostale naknade troškova zaposlenima                                                                 </t>
  </si>
  <si>
    <t>3222</t>
  </si>
  <si>
    <t xml:space="preserve">Materijal i sirovine                                                                                </t>
  </si>
  <si>
    <t>424</t>
  </si>
  <si>
    <t>Knjige, umjetnička djela i ostalae izložbene vrijednosti</t>
  </si>
  <si>
    <t>4241</t>
  </si>
  <si>
    <t xml:space="preserve">Knjige                                                                                              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</si>
  <si>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</si>
  <si>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</si>
  <si>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</si>
  <si>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</si>
  <si>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4226</t>
  </si>
  <si>
    <t xml:space="preserve">Sportska i glazbena oprema                                                                          </t>
  </si>
  <si>
    <t>3722</t>
  </si>
  <si>
    <t xml:space="preserve">Naknade građanima i kućanstvima u naravi                                                            </t>
  </si>
  <si>
    <t>3114</t>
  </si>
  <si>
    <t xml:space="preserve">Plaće za posebne uvjete rada                                                                        </t>
  </si>
  <si>
    <t>Prijenosi između proračunskih korisnika istog proračuna</t>
  </si>
  <si>
    <t>Tekući prijenosi između proračunskih korisnika istog proračuna temeljem prijenosa EU sredstava</t>
  </si>
  <si>
    <t>UKUPNI DONOS VIŠKA/MANJKA IZ PRETHODNE(IH) GODINA</t>
  </si>
  <si>
    <t>C. RASPOLOŽIVA SREDSTVA IZ PRETHODNIH GODINA</t>
  </si>
  <si>
    <t>VIŠAK/MANJAK + NETO ZADUŽIVANJE/FINANCIRANJE + PRENESENI VIŠAK/MANJAK</t>
  </si>
  <si>
    <t>VIŠAK / MANJAK IZ PRETHODNE(IH) GODINE KOJI ĆE SE POKRITI / RASPOREDITI</t>
  </si>
  <si>
    <t>VIŠAK / MANJAK IZ PRETHODNE(IH) GODINE KOJI SE NE POKRIVA / RASPOREĐUJE</t>
  </si>
  <si>
    <t>PRENESENI VIŠAK/MANJAK</t>
  </si>
  <si>
    <t>Rashodi poslovanja</t>
  </si>
  <si>
    <t>31</t>
  </si>
  <si>
    <t>32</t>
  </si>
  <si>
    <t>34</t>
  </si>
  <si>
    <t>37</t>
  </si>
  <si>
    <t>38</t>
  </si>
  <si>
    <t>42</t>
  </si>
  <si>
    <t xml:space="preserve">Rashodi za zaposlene                                                                                </t>
  </si>
  <si>
    <t xml:space="preserve">Materijalni rashodi                                                                                 </t>
  </si>
  <si>
    <t xml:space="preserve">Financijski rashodi                                                                                 </t>
  </si>
  <si>
    <t xml:space="preserve">Naknade građanima i kućanstvima na temelju osiguranja i druge naknade                               </t>
  </si>
  <si>
    <t xml:space="preserve">Ostali rashodi                                                                                      </t>
  </si>
  <si>
    <t xml:space="preserve">Rashodi za nabavu nefinancijske imovine                                                             </t>
  </si>
  <si>
    <t xml:space="preserve">Rashodi za nabavu proizvedene dugotrajne imovine                                                    </t>
  </si>
  <si>
    <t xml:space="preserve">REZULTAT </t>
  </si>
  <si>
    <t>OSNOVNA ŠKOLA "DOBRIŠA CESARIĆ"</t>
  </si>
  <si>
    <t>SLAVONSKA 8</t>
  </si>
  <si>
    <t>POŽEGA</t>
  </si>
  <si>
    <t>OIB 58790090389</t>
  </si>
  <si>
    <t xml:space="preserve">O P Ć I    D I O </t>
  </si>
  <si>
    <t xml:space="preserve">4 Rashodi za nabavu nefinancijske imovine   </t>
  </si>
  <si>
    <t xml:space="preserve">7 Prihodi od prodaje nefinancijske imovine  </t>
  </si>
  <si>
    <t xml:space="preserve">8 Primici od financijske imovine i zaduživanja </t>
  </si>
  <si>
    <t xml:space="preserve">5 Izdaci za financijsku imovinu i otplate zajmova </t>
  </si>
  <si>
    <t xml:space="preserve"> NETO ZADUŽIVANJE / FINANCIRANJE</t>
  </si>
  <si>
    <t>VIŠAK/MANJAK + NETO FINANCIRANJE</t>
  </si>
  <si>
    <t xml:space="preserve">3722 Naknade građanima i kućanstvima u naravi                                            </t>
  </si>
  <si>
    <t>3831 Naknade šteta pravnim i fizičkim osobama</t>
  </si>
  <si>
    <t xml:space="preserve">632 Pomoći od međunarodnih organizacija te institucija i tijela EU           </t>
  </si>
  <si>
    <t xml:space="preserve">6321 Tekuće pomoći od međunarodnih organizacija           </t>
  </si>
  <si>
    <t xml:space="preserve">6413 Kamate na oročena sredstva i depozite po viđenju         </t>
  </si>
  <si>
    <t xml:space="preserve">66 Prihodi od prodaje proizvoda i robe te pruženih usluga i prihodi od donacija  </t>
  </si>
  <si>
    <t xml:space="preserve">661 Prihodi od prodaje proizvoda i robe te pruženih usluga                           </t>
  </si>
  <si>
    <t xml:space="preserve">3133 Doprinosi za obvezno osiguranje u slučaju nezaposlenosti          </t>
  </si>
  <si>
    <t xml:space="preserve">324 Naknade troškova osobama izvan radnog odnosa           </t>
  </si>
  <si>
    <t xml:space="preserve">3241 Naknade troškova osobama izvan radnog odnosa                             </t>
  </si>
  <si>
    <t xml:space="preserve">3292 Premije osiguranja        </t>
  </si>
  <si>
    <t>3432 Negativne tečajne razlike i razlike zbog primjene valutne klauzule</t>
  </si>
  <si>
    <t xml:space="preserve">37 Naknade građanima i kućanstvima na temelju osiguranja i druge naknade </t>
  </si>
  <si>
    <t xml:space="preserve">372 Ostale naknade građanima i kućanstvima iz proračuna  </t>
  </si>
  <si>
    <t xml:space="preserve">42 Rashodi za nabavu proizvedene dugotrajne imovine </t>
  </si>
  <si>
    <t>67 Prihodi od nadležno proračuna i od HZZO-a temeljem ugovornih obveza</t>
  </si>
  <si>
    <t>671 Prihodi iz nadležnog proračuna za financ. redovne djelatn.proračun.korisnika</t>
  </si>
  <si>
    <t>6711 Prihodi iz nadležnog proračuna za financiranje rashoda poslovanja</t>
  </si>
  <si>
    <t>6712 Prihodi iz nadležnog proračuna za financiranje rashoda za nabavu nefinanc.imovine</t>
  </si>
  <si>
    <t xml:space="preserve">3296 Troškovi sudskih postupaka </t>
  </si>
  <si>
    <t>Prihodi i rashodi prema izvorima financiranja</t>
  </si>
  <si>
    <t>UKUPNO PRIHODI</t>
  </si>
  <si>
    <t>UKUPNO RASHODI</t>
  </si>
  <si>
    <t xml:space="preserve">Izvor 1.0. OPĆI PRIHODI I PRIMICI </t>
  </si>
  <si>
    <t>Izvor 3.4. VLASTITI PRIHODI PK - ŠKOLE - REZULTAT PRETH.GODINE</t>
  </si>
  <si>
    <t>PRIHODI</t>
  </si>
  <si>
    <t>RASHODI</t>
  </si>
  <si>
    <t xml:space="preserve">Izvor 4.9. PRIHODI ZA POSEBNE NAMJENE PK - ŠKOLE - REZULTAT PRETH.GODINE </t>
  </si>
  <si>
    <t>Po programskoj, ekonomskoj i izvorima financiranja</t>
  </si>
  <si>
    <t xml:space="preserve">P O S E B N I   D I O </t>
  </si>
  <si>
    <t>PRIHODI I PRIMICI</t>
  </si>
  <si>
    <t>Račun prihoda / primitaka</t>
  </si>
  <si>
    <t>Naziv računa</t>
  </si>
  <si>
    <t>Indeks</t>
  </si>
  <si>
    <t>5=4/3*100</t>
  </si>
  <si>
    <t>Pomoći iz inozemstva i od subjekata unutar općeg proračuna</t>
  </si>
  <si>
    <t xml:space="preserve">Pomoći od međunarodnih organizacija te institucija i tijela EU           </t>
  </si>
  <si>
    <t xml:space="preserve">Tekuće pomoći od međunarodnih organizacija           </t>
  </si>
  <si>
    <t>Pomoći od izvanproračunskih korisnika</t>
  </si>
  <si>
    <t xml:space="preserve">Tekuće pomoći od izvanproračunskih korisnika 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</si>
  <si>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</si>
  <si>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</si>
  <si>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</si>
  <si>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 xml:space="preserve">Prihodi od imovine                                                                                  </t>
  </si>
  <si>
    <t xml:space="preserve">Prihodi od financijske imovine                                                                      </t>
  </si>
  <si>
    <t xml:space="preserve">Kamate na oročena sredstva i depozite po viđenju         </t>
  </si>
  <si>
    <t xml:space="preserve">Prihodi od upravnih i administrativnih pristojbi, pristojbi po posebnim propisima i naknada         </t>
  </si>
  <si>
    <t xml:space="preserve">Prihodi po posebnim propisima                                                                       </t>
  </si>
  <si>
    <t xml:space="preserve">Ostali nespomenuti prihodi                                                                          </t>
  </si>
  <si>
    <t xml:space="preserve">Prihodi od prodaje proizvoda i robe te pruženih usluga i prihodi od donacija  </t>
  </si>
  <si>
    <t xml:space="preserve">Prihodi od prodaje proizvoda i robe te pruženih usluga                           </t>
  </si>
  <si>
    <t xml:space="preserve">Prihodi od pruženih usluga                                                                          </t>
  </si>
  <si>
    <t>Donacije od pravnih i fizičkih osoba izvan opće države</t>
  </si>
  <si>
    <t>Prihodi od nadležno proračuna i od HZZO-a temeljem ugovornih obveza</t>
  </si>
  <si>
    <t>Prihodi iz nadležnog proračuna za financ. redovne djelatn.proračun.korisnika</t>
  </si>
  <si>
    <t>Prihodi iz nadležnog proračuna za financiranje rashoda poslovanja</t>
  </si>
  <si>
    <t>Prihodi iz nadležnog proračuna za financiranje rashoda za nabavu nefinanc.imovine</t>
  </si>
  <si>
    <t xml:space="preserve">Kazne, upravne mjere i ostali prihodi                                                               </t>
  </si>
  <si>
    <t xml:space="preserve">Ostali prihodi                                                                                      </t>
  </si>
  <si>
    <t>UKUPNO Izvor financiranja Opći prihodi i primici</t>
  </si>
  <si>
    <t>UKUPNO Izvor financiranja Vlastiti prihodi</t>
  </si>
  <si>
    <t>UKUPNO Izvor financiranja Prihodi za posebne namjene</t>
  </si>
  <si>
    <t>UKUPNO Izvor financiranja Pomoći</t>
  </si>
  <si>
    <t>UKUPNO Izvor financiranja Donacije</t>
  </si>
  <si>
    <t>Višak prihoda poslovanja</t>
  </si>
  <si>
    <t>Rezultat poslovanja</t>
  </si>
  <si>
    <t>Višak/manjak prihoda</t>
  </si>
  <si>
    <t>UKUPNO Izvor financiranja Vlastiti prihodi - preneseni višak</t>
  </si>
  <si>
    <t>UKUPNO Izvor financiranja Prihodi za posebne namjene - preneseni višak</t>
  </si>
  <si>
    <t>KORIŠTENJE PRENESENOG VIŠKA</t>
  </si>
  <si>
    <t>UKUPNO Izvor financiranja Pomoći - preneseni višak</t>
  </si>
  <si>
    <t>Sveukupno prihodi</t>
  </si>
  <si>
    <t>Sveukupno preneseni višak</t>
  </si>
  <si>
    <t>Sveukupno prihodi + preneseni višak korišten za pokriće rashoda</t>
  </si>
  <si>
    <t>RASHODI I IZDACI</t>
  </si>
  <si>
    <t>PROGRAM 6000 REDOVNA DJELANOST OSNOVNOG ŠKOLSTVA</t>
  </si>
  <si>
    <t>Aktivnost A600001 Osnovna aktivnost osnovnog školstva</t>
  </si>
  <si>
    <t>Račun rashoda / izdataka</t>
  </si>
  <si>
    <t>Kapitalni projekt K600001 Nabava opreme u osnovnom školstvu</t>
  </si>
  <si>
    <t>Kapitalni projekt K600003 Nabava knjiga u osnovnom školstvu</t>
  </si>
  <si>
    <t>PROGRAM 7000 REDOVNA DJELANOST OSNOVNOG ŠKOLSTVA - IZNAD ZAKONSKOG STANDARDA</t>
  </si>
  <si>
    <t>Aktivnost A700001 Osnovna aktivnost osnovnog školstva</t>
  </si>
  <si>
    <t xml:space="preserve">Doprinosi za obvezno osiguranje u slučaju nezaposlenosti                                                         </t>
  </si>
  <si>
    <t>Kapitalni projekt K700001 Nabava opreme u osnovnom školstvu</t>
  </si>
  <si>
    <t>Izvršenje 2022.</t>
  </si>
  <si>
    <t xml:space="preserve">7 Prihodi od prodaje nefinancijske imovine                                                            </t>
  </si>
  <si>
    <t>72 Prihodi od prodaje proizvedene dugotrajne imovine</t>
  </si>
  <si>
    <t>722 Prihodi od prodaje postrojenja i opreme</t>
  </si>
  <si>
    <t>7227 Uređaji, strojevi i oprema za ostale namjene</t>
  </si>
  <si>
    <t>Izvor 6.4. DONACIJE PK - ŠKOLE - REZULTAT PRETHODNE GODINE</t>
  </si>
  <si>
    <t>Prihodi od prodaje proizvedene dugotrajne imovine</t>
  </si>
  <si>
    <t>Prihodi od prodaje postrojenja i opreme</t>
  </si>
  <si>
    <t>Uređaji, strojevi i oprema za ostale namjene</t>
  </si>
  <si>
    <t>Izvor financiranja 1.1. Opći prihodi i primici</t>
  </si>
  <si>
    <t>Izvor financiranja 3.3. Vlastiti prihodi</t>
  </si>
  <si>
    <t>Izvor financiranja 4.5. Prihodi za posebne namjene</t>
  </si>
  <si>
    <t>Izvor financiranja 5.2. Pomoći</t>
  </si>
  <si>
    <t>Izvor financiranja 6.3. Donacije</t>
  </si>
  <si>
    <t>Izvor financiranja 3.4. Vlastiti prihodi - preneseni višak</t>
  </si>
  <si>
    <t>Izvor financiranja 4.9. Prihodi za posebne namjene - preneseni višak</t>
  </si>
  <si>
    <t>Izvor financiranja 5.5. Pomoći - preneseni višak</t>
  </si>
  <si>
    <t>Izvor financiranja 6.4. Donacije - preneseni višak</t>
  </si>
  <si>
    <t>Izvor financiranja 1.1. Opći prihodi i primici - DEC OŠ</t>
  </si>
  <si>
    <t xml:space="preserve">Izvor financiranja 1.0. Opći prihodi i primici </t>
  </si>
  <si>
    <t>Plaće za prekovremeni rad</t>
  </si>
  <si>
    <t xml:space="preserve">Naknade građanima i kućanstvima na temelju osiguranja i druge naknade </t>
  </si>
  <si>
    <t xml:space="preserve">Ostale naknade građanima i kućanstvima iz proračuna  </t>
  </si>
  <si>
    <t xml:space="preserve">Naknade građanima i kućanstvima u naravi                                            </t>
  </si>
  <si>
    <t>Doprinosi za obvezno osiguranje u slučaju nezapolenosti</t>
  </si>
  <si>
    <t>Izvor financiranja 4.9. Prihodi za posebne namjene - rezultat prethodne godine</t>
  </si>
  <si>
    <t>Izvor financiranja 3.4. Vlastiti prihodi - rezultat prethodne godine</t>
  </si>
  <si>
    <t>Izvor financiranja 5.5. Pomoći - rezultat prethodne godine</t>
  </si>
  <si>
    <t>Izvor financiranja 6.4. Donacije - rezultat prethodne godine</t>
  </si>
  <si>
    <t>Izvor financiranja 4.9. Prihod za posebne namjene - rezultat prethodne godine</t>
  </si>
  <si>
    <t>Višak prihoda od nefinancijske imovine</t>
  </si>
  <si>
    <t>Rashodi prema funkcijskoj klasifikaciji</t>
  </si>
  <si>
    <t>Funkcijska klasifikacija SVEUKUPNI RASHODI</t>
  </si>
  <si>
    <t>Funkcijska klasifikacija 09 Obrazovanje</t>
  </si>
  <si>
    <t>Funkcijska klasifikacija 0912 Osnovno obrazovanje</t>
  </si>
  <si>
    <t>Izvještaj o izvršenju financijskog plana  za 2023.g.</t>
  </si>
  <si>
    <t>Za razdoblje od 01.01.2023. do 31.12.2023.</t>
  </si>
  <si>
    <t>Izvorni plan 2023.</t>
  </si>
  <si>
    <t>Tekući plan 2023.</t>
  </si>
  <si>
    <t>Izvršenje 2023.</t>
  </si>
  <si>
    <t xml:space="preserve">6322 Kapitalne pomoći od međunarodnih organizacija           </t>
  </si>
  <si>
    <t>381 Tekuće donacije</t>
  </si>
  <si>
    <t>3812 Tekuće donacije u naravi</t>
  </si>
  <si>
    <t>Izvor 1.1. OPĆI PRIHODI I PRIMICI - METODOLOŠKI MANJAK</t>
  </si>
  <si>
    <t xml:space="preserve">Kapitalne pomoći od međunarodnih organizacija           </t>
  </si>
  <si>
    <t>Stručno usavršavanje zaposlenika</t>
  </si>
  <si>
    <t>Tekuće donacije</t>
  </si>
  <si>
    <t>Tekuće donacije u naravi</t>
  </si>
  <si>
    <t xml:space="preserve">Doprinosi za obvezno zdravstveno osiguranje                                                  </t>
  </si>
  <si>
    <t>Kapitalni projekt K700003 Nabava knjiga u osnovnom školstvu</t>
  </si>
  <si>
    <t>Izvor financiranja 5.2. Pomoći - MZO</t>
  </si>
  <si>
    <t>Sveukupno rashodi</t>
  </si>
  <si>
    <t>Izvorni plan / rebalans 2023.</t>
  </si>
  <si>
    <t>Indeks 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</si>
</sst>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##\%"/>
    <numFmt numFmtId="165" formatCode="#,##0.000000"/>
  </numFmts>
  <fonts count="20" x14ac:knownFonts="1">
    <font>
      <sz val="10"/>
      <name val="Arial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5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0" xfId="0" applyFont="1"/>
    <xf numFmtId="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0" fontId="1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0" fillId="0" borderId="0" xfId="0" applyFont="1" applyFill="1"/>
    <xf numFmtId="4" fontId="11" fillId="0" borderId="2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Border="1" applyAlignment="1" applyProtection="1">
      <alignment horizontal="center"/>
    </xf>
    <xf numFmtId="4" fontId="1" fillId="0" borderId="5" xfId="0" applyNumberFormat="1" applyFont="1" applyFill="1" applyBorder="1" applyAlignment="1" applyProtection="1">
      <alignment horizontal="right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center"/>
    </xf>
    <xf numFmtId="4" fontId="1" fillId="0" borderId="14" xfId="0" applyNumberFormat="1" applyFont="1" applyFill="1" applyBorder="1" applyAlignment="1" applyProtection="1">
      <alignment horizontal="right"/>
    </xf>
    <xf numFmtId="0" fontId="11" fillId="0" borderId="13" xfId="0" applyFont="1" applyFill="1" applyBorder="1"/>
    <xf numFmtId="4" fontId="11" fillId="0" borderId="14" xfId="0" applyNumberFormat="1" applyFont="1" applyFill="1" applyBorder="1" applyAlignment="1" applyProtection="1">
      <alignment horizontal="right"/>
    </xf>
    <xf numFmtId="0" fontId="11" fillId="0" borderId="4" xfId="0" applyFont="1" applyFill="1" applyBorder="1"/>
    <xf numFmtId="4" fontId="11" fillId="0" borderId="5" xfId="0" applyNumberFormat="1" applyFont="1" applyFill="1" applyBorder="1" applyAlignment="1" applyProtection="1">
      <alignment horizontal="right"/>
    </xf>
    <xf numFmtId="0" fontId="11" fillId="0" borderId="16" xfId="0" applyFont="1" applyFill="1" applyBorder="1"/>
    <xf numFmtId="4" fontId="11" fillId="0" borderId="17" xfId="0" applyNumberFormat="1" applyFont="1" applyFill="1" applyBorder="1" applyAlignment="1" applyProtection="1">
      <alignment horizontal="righ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2" xfId="0" applyFont="1" applyFill="1" applyBorder="1"/>
    <xf numFmtId="4" fontId="11" fillId="0" borderId="23" xfId="0" applyNumberFormat="1" applyFont="1" applyFill="1" applyBorder="1" applyAlignment="1" applyProtection="1">
      <alignment horizontal="right"/>
    </xf>
    <xf numFmtId="0" fontId="11" fillId="0" borderId="24" xfId="0" applyFont="1" applyFill="1" applyBorder="1" applyAlignment="1">
      <alignment wrapText="1"/>
    </xf>
    <xf numFmtId="0" fontId="11" fillId="0" borderId="25" xfId="0" applyFont="1" applyFill="1" applyBorder="1"/>
    <xf numFmtId="4" fontId="11" fillId="0" borderId="26" xfId="0" applyNumberFormat="1" applyFont="1" applyFill="1" applyBorder="1" applyAlignment="1" applyProtection="1">
      <alignment horizontal="right"/>
    </xf>
    <xf numFmtId="0" fontId="11" fillId="0" borderId="28" xfId="0" applyFont="1" applyFill="1" applyBorder="1"/>
    <xf numFmtId="4" fontId="11" fillId="0" borderId="29" xfId="0" applyNumberFormat="1" applyFont="1" applyFill="1" applyBorder="1" applyAlignment="1" applyProtection="1">
      <alignment horizontal="right"/>
    </xf>
    <xf numFmtId="4" fontId="1" fillId="0" borderId="29" xfId="0" applyNumberFormat="1" applyFont="1" applyFill="1" applyBorder="1" applyAlignment="1" applyProtection="1">
      <alignment horizontal="right"/>
    </xf>
    <xf numFmtId="4" fontId="11" fillId="0" borderId="20" xfId="0" applyNumberFormat="1" applyFont="1" applyFill="1" applyBorder="1" applyAlignment="1">
      <alignment horizontal="left" wrapText="1"/>
    </xf>
    <xf numFmtId="1" fontId="1" fillId="0" borderId="5" xfId="0" applyNumberFormat="1" applyFont="1" applyFill="1" applyBorder="1" applyAlignment="1" applyProtection="1">
      <alignment horizontal="right"/>
    </xf>
    <xf numFmtId="1" fontId="1" fillId="0" borderId="6" xfId="0" applyNumberFormat="1" applyFont="1" applyFill="1" applyBorder="1" applyAlignment="1" applyProtection="1">
      <alignment horizontal="right"/>
    </xf>
    <xf numFmtId="1" fontId="1" fillId="0" borderId="14" xfId="0" applyNumberFormat="1" applyFont="1" applyFill="1" applyBorder="1" applyAlignment="1" applyProtection="1">
      <alignment horizontal="right"/>
    </xf>
    <xf numFmtId="1" fontId="1" fillId="0" borderId="15" xfId="0" applyNumberFormat="1" applyFont="1" applyFill="1" applyBorder="1" applyAlignment="1" applyProtection="1">
      <alignment horizontal="right"/>
    </xf>
    <xf numFmtId="1" fontId="1" fillId="0" borderId="29" xfId="0" applyNumberFormat="1" applyFont="1" applyFill="1" applyBorder="1" applyAlignment="1" applyProtection="1">
      <alignment horizontal="right"/>
    </xf>
    <xf numFmtId="1" fontId="1" fillId="0" borderId="30" xfId="0" applyNumberFormat="1" applyFont="1" applyFill="1" applyBorder="1" applyAlignment="1" applyProtection="1">
      <alignment horizontal="right"/>
    </xf>
    <xf numFmtId="1" fontId="11" fillId="0" borderId="20" xfId="0" applyNumberFormat="1" applyFont="1" applyFill="1" applyBorder="1" applyAlignment="1">
      <alignment horizontal="left"/>
    </xf>
    <xf numFmtId="1" fontId="11" fillId="0" borderId="21" xfId="0" applyNumberFormat="1" applyFont="1" applyFill="1" applyBorder="1" applyAlignment="1">
      <alignment horizontal="left"/>
    </xf>
    <xf numFmtId="1" fontId="11" fillId="0" borderId="5" xfId="0" applyNumberFormat="1" applyFont="1" applyFill="1" applyBorder="1" applyAlignment="1" applyProtection="1">
      <alignment horizontal="right"/>
    </xf>
    <xf numFmtId="1" fontId="11" fillId="0" borderId="6" xfId="0" applyNumberFormat="1" applyFont="1" applyFill="1" applyBorder="1" applyAlignment="1" applyProtection="1">
      <alignment horizontal="right"/>
    </xf>
    <xf numFmtId="1" fontId="11" fillId="0" borderId="14" xfId="0" applyNumberFormat="1" applyFont="1" applyFill="1" applyBorder="1" applyAlignment="1" applyProtection="1">
      <alignment horizontal="right"/>
    </xf>
    <xf numFmtId="1" fontId="11" fillId="0" borderId="15" xfId="0" applyNumberFormat="1" applyFont="1" applyFill="1" applyBorder="1" applyAlignment="1" applyProtection="1">
      <alignment horizontal="right"/>
    </xf>
    <xf numFmtId="1" fontId="11" fillId="0" borderId="26" xfId="0" applyNumberFormat="1" applyFont="1" applyFill="1" applyBorder="1" applyAlignment="1" applyProtection="1">
      <alignment horizontal="right"/>
    </xf>
    <xf numFmtId="1" fontId="11" fillId="0" borderId="27" xfId="0" applyNumberFormat="1" applyFont="1" applyFill="1" applyBorder="1" applyAlignment="1" applyProtection="1">
      <alignment horizontal="right"/>
    </xf>
    <xf numFmtId="1" fontId="11" fillId="0" borderId="29" xfId="0" applyNumberFormat="1" applyFont="1" applyFill="1" applyBorder="1" applyAlignment="1" applyProtection="1">
      <alignment horizontal="right"/>
    </xf>
    <xf numFmtId="1" fontId="11" fillId="0" borderId="30" xfId="0" applyNumberFormat="1" applyFont="1" applyFill="1" applyBorder="1" applyAlignment="1" applyProtection="1">
      <alignment horizontal="right"/>
    </xf>
    <xf numFmtId="1" fontId="11" fillId="0" borderId="2" xfId="0" applyNumberFormat="1" applyFont="1" applyFill="1" applyBorder="1" applyAlignment="1" applyProtection="1">
      <alignment horizontal="right"/>
    </xf>
    <xf numFmtId="1" fontId="11" fillId="0" borderId="3" xfId="0" applyNumberFormat="1" applyFont="1" applyFill="1" applyBorder="1" applyAlignment="1" applyProtection="1">
      <alignment horizontal="right"/>
    </xf>
    <xf numFmtId="1" fontId="11" fillId="0" borderId="20" xfId="0" applyNumberFormat="1" applyFont="1" applyFill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left" wrapText="1"/>
    </xf>
    <xf numFmtId="1" fontId="11" fillId="0" borderId="17" xfId="0" applyNumberFormat="1" applyFont="1" applyFill="1" applyBorder="1" applyAlignment="1" applyProtection="1">
      <alignment horizontal="right"/>
    </xf>
    <xf numFmtId="1" fontId="11" fillId="0" borderId="18" xfId="0" applyNumberFormat="1" applyFont="1" applyFill="1" applyBorder="1" applyAlignment="1" applyProtection="1">
      <alignment horizontal="right"/>
    </xf>
    <xf numFmtId="0" fontId="10" fillId="0" borderId="0" xfId="0" applyFont="1"/>
    <xf numFmtId="0" fontId="4" fillId="0" borderId="1" xfId="0" applyFont="1" applyBorder="1"/>
    <xf numFmtId="4" fontId="4" fillId="0" borderId="2" xfId="0" applyNumberFormat="1" applyFont="1" applyBorder="1" applyAlignment="1" applyProtection="1">
      <alignment horizontal="right"/>
    </xf>
    <xf numFmtId="0" fontId="0" fillId="0" borderId="1" xfId="0" applyBorder="1"/>
    <xf numFmtId="4" fontId="0" fillId="0" borderId="2" xfId="0" applyNumberFormat="1" applyFont="1" applyBorder="1" applyAlignment="1" applyProtection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0" fillId="0" borderId="31" xfId="0" applyBorder="1"/>
    <xf numFmtId="4" fontId="0" fillId="0" borderId="32" xfId="0" applyNumberFormat="1" applyFont="1" applyBorder="1" applyAlignment="1" applyProtection="1">
      <alignment horizontal="right"/>
    </xf>
    <xf numFmtId="0" fontId="5" fillId="0" borderId="7" xfId="0" applyFont="1" applyFill="1" applyBorder="1" applyAlignment="1">
      <alignment horizontal="center"/>
    </xf>
    <xf numFmtId="0" fontId="4" fillId="0" borderId="4" xfId="0" applyFont="1" applyBorder="1"/>
    <xf numFmtId="4" fontId="4" fillId="0" borderId="5" xfId="0" applyNumberFormat="1" applyFont="1" applyBorder="1" applyAlignment="1" applyProtection="1">
      <alignment horizontal="right"/>
    </xf>
    <xf numFmtId="0" fontId="11" fillId="0" borderId="1" xfId="0" applyFont="1" applyBorder="1"/>
    <xf numFmtId="0" fontId="0" fillId="0" borderId="13" xfId="0" applyBorder="1"/>
    <xf numFmtId="4" fontId="0" fillId="0" borderId="14" xfId="0" applyNumberFormat="1" applyFont="1" applyBorder="1" applyAlignment="1" applyProtection="1">
      <alignment horizontal="right"/>
    </xf>
    <xf numFmtId="0" fontId="4" fillId="0" borderId="25" xfId="0" applyFont="1" applyBorder="1"/>
    <xf numFmtId="4" fontId="4" fillId="0" borderId="26" xfId="0" applyNumberFormat="1" applyFont="1" applyBorder="1" applyAlignment="1" applyProtection="1">
      <alignment horizontal="right"/>
    </xf>
    <xf numFmtId="0" fontId="4" fillId="0" borderId="19" xfId="0" applyFont="1" applyBorder="1"/>
    <xf numFmtId="4" fontId="4" fillId="0" borderId="20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left"/>
    </xf>
    <xf numFmtId="4" fontId="10" fillId="0" borderId="14" xfId="0" applyNumberFormat="1" applyFont="1" applyBorder="1" applyAlignment="1" applyProtection="1">
      <alignment horizontal="right"/>
    </xf>
    <xf numFmtId="0" fontId="11" fillId="0" borderId="4" xfId="0" applyFont="1" applyBorder="1"/>
    <xf numFmtId="0" fontId="4" fillId="0" borderId="34" xfId="0" applyFont="1" applyBorder="1"/>
    <xf numFmtId="4" fontId="4" fillId="0" borderId="35" xfId="0" applyNumberFormat="1" applyFont="1" applyBorder="1" applyAlignment="1" applyProtection="1">
      <alignment horizontal="right"/>
    </xf>
    <xf numFmtId="0" fontId="0" fillId="0" borderId="13" xfId="0" applyBorder="1" applyAlignment="1">
      <alignment wrapText="1"/>
    </xf>
    <xf numFmtId="0" fontId="10" fillId="0" borderId="13" xfId="0" applyFont="1" applyBorder="1"/>
    <xf numFmtId="0" fontId="4" fillId="0" borderId="25" xfId="0" applyFont="1" applyBorder="1" applyAlignment="1">
      <alignment wrapText="1"/>
    </xf>
    <xf numFmtId="0" fontId="11" fillId="0" borderId="25" xfId="0" applyFont="1" applyBorder="1"/>
    <xf numFmtId="0" fontId="4" fillId="0" borderId="37" xfId="0" applyFont="1" applyBorder="1"/>
    <xf numFmtId="4" fontId="4" fillId="0" borderId="38" xfId="0" applyNumberFormat="1" applyFont="1" applyBorder="1" applyAlignment="1" applyProtection="1">
      <alignment horizontal="right"/>
    </xf>
    <xf numFmtId="0" fontId="11" fillId="0" borderId="34" xfId="0" applyFont="1" applyBorder="1"/>
    <xf numFmtId="0" fontId="10" fillId="0" borderId="40" xfId="0" applyFont="1" applyBorder="1" applyAlignment="1">
      <alignment horizontal="left"/>
    </xf>
    <xf numFmtId="4" fontId="0" fillId="0" borderId="41" xfId="0" applyNumberFormat="1" applyFont="1" applyBorder="1" applyAlignment="1" applyProtection="1">
      <alignment horizontal="right"/>
    </xf>
    <xf numFmtId="0" fontId="11" fillId="0" borderId="4" xfId="0" applyFont="1" applyBorder="1" applyAlignment="1">
      <alignment horizontal="left"/>
    </xf>
    <xf numFmtId="4" fontId="11" fillId="0" borderId="5" xfId="0" applyNumberFormat="1" applyFont="1" applyBorder="1" applyAlignment="1" applyProtection="1">
      <alignment horizontal="right"/>
    </xf>
    <xf numFmtId="0" fontId="11" fillId="0" borderId="25" xfId="0" applyFont="1" applyBorder="1" applyAlignment="1">
      <alignment horizontal="left"/>
    </xf>
    <xf numFmtId="4" fontId="11" fillId="0" borderId="26" xfId="0" applyNumberFormat="1" applyFont="1" applyBorder="1" applyAlignment="1" applyProtection="1">
      <alignment horizontal="right"/>
    </xf>
    <xf numFmtId="1" fontId="4" fillId="0" borderId="20" xfId="0" applyNumberFormat="1" applyFont="1" applyBorder="1" applyAlignment="1" applyProtection="1">
      <alignment horizontal="right"/>
    </xf>
    <xf numFmtId="1" fontId="4" fillId="0" borderId="21" xfId="0" applyNumberFormat="1" applyFont="1" applyBorder="1" applyAlignment="1" applyProtection="1">
      <alignment horizontal="right"/>
    </xf>
    <xf numFmtId="1" fontId="4" fillId="0" borderId="35" xfId="0" applyNumberFormat="1" applyFont="1" applyBorder="1" applyAlignment="1" applyProtection="1">
      <alignment horizontal="right"/>
    </xf>
    <xf numFmtId="1" fontId="4" fillId="0" borderId="36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/>
    </xf>
    <xf numFmtId="1" fontId="4" fillId="0" borderId="6" xfId="0" applyNumberFormat="1" applyFont="1" applyBorder="1" applyAlignment="1" applyProtection="1">
      <alignment horizontal="right"/>
    </xf>
    <xf numFmtId="1" fontId="0" fillId="0" borderId="2" xfId="0" applyNumberFormat="1" applyFont="1" applyBorder="1" applyAlignment="1" applyProtection="1">
      <alignment horizontal="right"/>
    </xf>
    <xf numFmtId="1" fontId="0" fillId="0" borderId="3" xfId="0" applyNumberFormat="1" applyFont="1" applyBorder="1" applyAlignment="1" applyProtection="1">
      <alignment horizontal="right"/>
    </xf>
    <xf numFmtId="1" fontId="4" fillId="0" borderId="2" xfId="0" applyNumberFormat="1" applyFont="1" applyBorder="1" applyAlignment="1" applyProtection="1">
      <alignment horizontal="right"/>
    </xf>
    <xf numFmtId="1" fontId="4" fillId="0" borderId="3" xfId="0" applyNumberFormat="1" applyFont="1" applyBorder="1" applyAlignment="1" applyProtection="1">
      <alignment horizontal="right"/>
    </xf>
    <xf numFmtId="1" fontId="0" fillId="0" borderId="14" xfId="0" applyNumberFormat="1" applyFont="1" applyBorder="1" applyAlignment="1" applyProtection="1">
      <alignment horizontal="right"/>
    </xf>
    <xf numFmtId="1" fontId="0" fillId="0" borderId="15" xfId="0" applyNumberFormat="1" applyFont="1" applyBorder="1" applyAlignment="1" applyProtection="1">
      <alignment horizontal="right"/>
    </xf>
    <xf numFmtId="1" fontId="4" fillId="0" borderId="26" xfId="0" applyNumberFormat="1" applyFont="1" applyBorder="1" applyAlignment="1" applyProtection="1">
      <alignment horizontal="right"/>
    </xf>
    <xf numFmtId="1" fontId="4" fillId="0" borderId="27" xfId="0" applyNumberFormat="1" applyFont="1" applyBorder="1" applyAlignment="1" applyProtection="1">
      <alignment horizontal="right"/>
    </xf>
    <xf numFmtId="1" fontId="11" fillId="0" borderId="26" xfId="0" applyNumberFormat="1" applyFont="1" applyBorder="1" applyAlignment="1" applyProtection="1">
      <alignment horizontal="right"/>
    </xf>
    <xf numFmtId="1" fontId="11" fillId="0" borderId="27" xfId="0" applyNumberFormat="1" applyFont="1" applyBorder="1" applyAlignment="1" applyProtection="1">
      <alignment horizontal="right"/>
    </xf>
    <xf numFmtId="1" fontId="11" fillId="0" borderId="5" xfId="0" applyNumberFormat="1" applyFont="1" applyBorder="1" applyAlignment="1" applyProtection="1">
      <alignment horizontal="right"/>
    </xf>
    <xf numFmtId="1" fontId="11" fillId="0" borderId="6" xfId="0" applyNumberFormat="1" applyFont="1" applyBorder="1" applyAlignment="1" applyProtection="1">
      <alignment horizontal="right"/>
    </xf>
    <xf numFmtId="1" fontId="0" fillId="0" borderId="41" xfId="0" applyNumberFormat="1" applyFont="1" applyBorder="1" applyAlignment="1" applyProtection="1">
      <alignment horizontal="right"/>
    </xf>
    <xf numFmtId="1" fontId="0" fillId="0" borderId="42" xfId="0" applyNumberFormat="1" applyFont="1" applyBorder="1" applyAlignment="1" applyProtection="1">
      <alignment horizontal="right"/>
    </xf>
    <xf numFmtId="1" fontId="4" fillId="0" borderId="38" xfId="0" applyNumberFormat="1" applyFont="1" applyBorder="1" applyAlignment="1" applyProtection="1">
      <alignment horizontal="right"/>
    </xf>
    <xf numFmtId="1" fontId="4" fillId="0" borderId="39" xfId="0" applyNumberFormat="1" applyFont="1" applyBorder="1" applyAlignment="1" applyProtection="1">
      <alignment horizontal="right"/>
    </xf>
    <xf numFmtId="1" fontId="10" fillId="0" borderId="14" xfId="0" applyNumberFormat="1" applyFont="1" applyBorder="1" applyAlignment="1" applyProtection="1">
      <alignment horizontal="right"/>
    </xf>
    <xf numFmtId="1" fontId="10" fillId="0" borderId="15" xfId="0" applyNumberFormat="1" applyFont="1" applyBorder="1" applyAlignment="1" applyProtection="1">
      <alignment horizontal="right"/>
    </xf>
    <xf numFmtId="1" fontId="0" fillId="0" borderId="32" xfId="0" applyNumberFormat="1" applyFont="1" applyBorder="1" applyAlignment="1" applyProtection="1">
      <alignment horizontal="right"/>
    </xf>
    <xf numFmtId="1" fontId="0" fillId="0" borderId="33" xfId="0" applyNumberFormat="1" applyFont="1" applyBorder="1" applyAlignment="1" applyProtection="1">
      <alignment horizontal="right"/>
    </xf>
    <xf numFmtId="0" fontId="14" fillId="0" borderId="0" xfId="0" applyFont="1" applyFill="1"/>
    <xf numFmtId="0" fontId="14" fillId="0" borderId="0" xfId="0" applyFont="1"/>
    <xf numFmtId="0" fontId="12" fillId="0" borderId="0" xfId="0" applyFont="1" applyBorder="1" applyAlignment="1" applyProtection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 applyFont="1" applyBorder="1" applyAlignment="1" applyProtection="1">
      <alignment horizontal="right"/>
    </xf>
    <xf numFmtId="0" fontId="10" fillId="0" borderId="0" xfId="0" applyFont="1" applyFill="1"/>
    <xf numFmtId="0" fontId="1" fillId="0" borderId="0" xfId="0" applyFont="1" applyFill="1"/>
    <xf numFmtId="0" fontId="13" fillId="0" borderId="0" xfId="0" applyFont="1" applyFill="1"/>
    <xf numFmtId="0" fontId="12" fillId="0" borderId="0" xfId="0" applyFont="1" applyBorder="1" applyAlignment="1" applyProtection="1">
      <alignment horizontal="center"/>
    </xf>
    <xf numFmtId="0" fontId="0" fillId="0" borderId="0" xfId="0"/>
    <xf numFmtId="0" fontId="15" fillId="0" borderId="0" xfId="0" applyFont="1" applyFill="1"/>
    <xf numFmtId="0" fontId="12" fillId="0" borderId="0" xfId="0" applyFont="1" applyFill="1"/>
    <xf numFmtId="0" fontId="12" fillId="0" borderId="20" xfId="0" applyFont="1" applyFill="1" applyBorder="1"/>
    <xf numFmtId="0" fontId="10" fillId="0" borderId="14" xfId="0" applyFont="1" applyFill="1" applyBorder="1"/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left"/>
    </xf>
    <xf numFmtId="0" fontId="10" fillId="0" borderId="2" xfId="0" applyFont="1" applyBorder="1"/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left"/>
    </xf>
    <xf numFmtId="0" fontId="1" fillId="0" borderId="2" xfId="0" applyFont="1" applyBorder="1"/>
    <xf numFmtId="4" fontId="1" fillId="0" borderId="2" xfId="0" applyNumberFormat="1" applyFont="1" applyBorder="1"/>
    <xf numFmtId="0" fontId="0" fillId="0" borderId="32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5" xfId="0" applyFont="1" applyBorder="1"/>
    <xf numFmtId="0" fontId="10" fillId="0" borderId="2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 applyProtection="1">
      <alignment horizontal="right"/>
    </xf>
    <xf numFmtId="0" fontId="1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left"/>
    </xf>
    <xf numFmtId="4" fontId="11" fillId="0" borderId="56" xfId="0" applyNumberFormat="1" applyFont="1" applyBorder="1" applyAlignment="1" applyProtection="1">
      <alignment horizontal="right"/>
    </xf>
    <xf numFmtId="0" fontId="1" fillId="0" borderId="56" xfId="0" applyFont="1" applyBorder="1"/>
    <xf numFmtId="4" fontId="4" fillId="0" borderId="56" xfId="0" applyNumberFormat="1" applyFont="1" applyBorder="1" applyAlignment="1" applyProtection="1">
      <alignment horizontal="right"/>
    </xf>
    <xf numFmtId="0" fontId="4" fillId="0" borderId="55" xfId="0" applyFont="1" applyBorder="1" applyAlignment="1">
      <alignment horizontal="center"/>
    </xf>
    <xf numFmtId="0" fontId="10" fillId="0" borderId="14" xfId="0" applyFont="1" applyBorder="1"/>
    <xf numFmtId="0" fontId="4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6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2" fillId="0" borderId="60" xfId="0" applyNumberFormat="1" applyFont="1" applyBorder="1" applyAlignment="1" applyProtection="1">
      <alignment horizontal="right"/>
    </xf>
    <xf numFmtId="0" fontId="12" fillId="0" borderId="62" xfId="0" applyFont="1" applyBorder="1" applyAlignment="1">
      <alignment horizontal="center"/>
    </xf>
    <xf numFmtId="4" fontId="12" fillId="0" borderId="62" xfId="0" applyNumberFormat="1" applyFont="1" applyBorder="1" applyAlignment="1" applyProtection="1">
      <alignment horizontal="right"/>
    </xf>
    <xf numFmtId="0" fontId="12" fillId="0" borderId="0" xfId="0" applyFont="1" applyBorder="1" applyAlignment="1">
      <alignment horizontal="center"/>
    </xf>
    <xf numFmtId="0" fontId="1" fillId="0" borderId="63" xfId="0" applyFont="1" applyFill="1" applyBorder="1" applyAlignment="1" applyProtection="1">
      <alignment horizontal="left"/>
    </xf>
    <xf numFmtId="0" fontId="1" fillId="0" borderId="63" xfId="0" applyFont="1" applyFill="1" applyBorder="1"/>
    <xf numFmtId="4" fontId="1" fillId="0" borderId="63" xfId="0" applyNumberFormat="1" applyFont="1" applyFill="1" applyBorder="1" applyAlignment="1" applyProtection="1">
      <alignment horizontal="right"/>
    </xf>
    <xf numFmtId="1" fontId="1" fillId="0" borderId="63" xfId="0" applyNumberFormat="1" applyFont="1" applyFill="1" applyBorder="1" applyAlignment="1" applyProtection="1">
      <alignment horizontal="right"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4" fontId="17" fillId="0" borderId="44" xfId="0" applyNumberFormat="1" applyFont="1" applyBorder="1" applyAlignment="1" applyProtection="1">
      <alignment horizontal="right"/>
    </xf>
    <xf numFmtId="0" fontId="17" fillId="0" borderId="0" xfId="0" applyFont="1"/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4" fontId="17" fillId="0" borderId="2" xfId="0" applyNumberFormat="1" applyFont="1" applyBorder="1" applyAlignment="1" applyProtection="1">
      <alignment horizontal="right"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4" fontId="17" fillId="0" borderId="32" xfId="0" applyNumberFormat="1" applyFont="1" applyBorder="1" applyAlignment="1" applyProtection="1">
      <alignment horizontal="right"/>
    </xf>
    <xf numFmtId="0" fontId="0" fillId="0" borderId="0" xfId="0" applyAlignment="1">
      <alignment horizontal="left"/>
    </xf>
    <xf numFmtId="0" fontId="17" fillId="0" borderId="62" xfId="0" applyFont="1" applyBorder="1" applyAlignment="1">
      <alignment horizontal="center"/>
    </xf>
    <xf numFmtId="4" fontId="17" fillId="0" borderId="62" xfId="0" applyNumberFormat="1" applyFont="1" applyBorder="1" applyAlignment="1" applyProtection="1">
      <alignment horizontal="right"/>
    </xf>
    <xf numFmtId="0" fontId="12" fillId="0" borderId="0" xfId="0" applyFont="1" applyBorder="1" applyAlignment="1">
      <alignment horizontal="left"/>
    </xf>
    <xf numFmtId="4" fontId="10" fillId="0" borderId="2" xfId="0" applyNumberFormat="1" applyFont="1" applyBorder="1" applyAlignment="1"/>
    <xf numFmtId="4" fontId="0" fillId="0" borderId="2" xfId="0" applyNumberFormat="1" applyBorder="1" applyAlignment="1"/>
    <xf numFmtId="4" fontId="1" fillId="0" borderId="2" xfId="0" applyNumberFormat="1" applyFont="1" applyBorder="1" applyAlignment="1"/>
    <xf numFmtId="4" fontId="0" fillId="0" borderId="32" xfId="0" applyNumberFormat="1" applyBorder="1" applyAlignment="1"/>
    <xf numFmtId="0" fontId="4" fillId="0" borderId="68" xfId="0" applyFont="1" applyBorder="1"/>
    <xf numFmtId="4" fontId="4" fillId="0" borderId="69" xfId="0" applyNumberFormat="1" applyFont="1" applyBorder="1" applyAlignment="1" applyProtection="1">
      <alignment horizontal="right"/>
    </xf>
    <xf numFmtId="1" fontId="4" fillId="0" borderId="69" xfId="0" applyNumberFormat="1" applyFont="1" applyBorder="1" applyAlignment="1" applyProtection="1">
      <alignment horizontal="right"/>
    </xf>
    <xf numFmtId="1" fontId="4" fillId="0" borderId="70" xfId="0" applyNumberFormat="1" applyFont="1" applyBorder="1" applyAlignment="1" applyProtection="1">
      <alignment horizontal="right"/>
    </xf>
    <xf numFmtId="0" fontId="1" fillId="0" borderId="10" xfId="0" applyFont="1" applyFill="1" applyBorder="1" applyAlignment="1">
      <alignment horizontal="center"/>
    </xf>
    <xf numFmtId="0" fontId="12" fillId="0" borderId="25" xfId="0" applyFont="1" applyFill="1" applyBorder="1"/>
    <xf numFmtId="4" fontId="12" fillId="0" borderId="26" xfId="0" applyNumberFormat="1" applyFont="1" applyFill="1" applyBorder="1" applyAlignment="1" applyProtection="1">
      <alignment horizontal="right"/>
    </xf>
    <xf numFmtId="1" fontId="12" fillId="0" borderId="26" xfId="0" applyNumberFormat="1" applyFont="1" applyFill="1" applyBorder="1" applyAlignment="1" applyProtection="1">
      <alignment horizontal="right"/>
    </xf>
    <xf numFmtId="1" fontId="12" fillId="0" borderId="27" xfId="0" applyNumberFormat="1" applyFont="1" applyFill="1" applyBorder="1" applyAlignment="1" applyProtection="1">
      <alignment horizontal="right"/>
    </xf>
    <xf numFmtId="0" fontId="12" fillId="0" borderId="28" xfId="0" applyFont="1" applyBorder="1" applyAlignment="1">
      <alignment horizontal="center"/>
    </xf>
    <xf numFmtId="4" fontId="12" fillId="0" borderId="29" xfId="0" applyNumberFormat="1" applyFont="1" applyBorder="1" applyAlignment="1" applyProtection="1">
      <alignment horizontal="right"/>
    </xf>
    <xf numFmtId="1" fontId="12" fillId="0" borderId="29" xfId="0" applyNumberFormat="1" applyFont="1" applyBorder="1" applyAlignment="1" applyProtection="1">
      <alignment horizontal="center"/>
    </xf>
    <xf numFmtId="1" fontId="12" fillId="0" borderId="30" xfId="0" applyNumberFormat="1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2" fillId="0" borderId="19" xfId="0" applyFont="1" applyBorder="1"/>
    <xf numFmtId="4" fontId="12" fillId="0" borderId="20" xfId="0" applyNumberFormat="1" applyFont="1" applyBorder="1" applyAlignment="1" applyProtection="1">
      <alignment horizontal="right"/>
    </xf>
    <xf numFmtId="1" fontId="12" fillId="0" borderId="20" xfId="0" applyNumberFormat="1" applyFont="1" applyBorder="1" applyAlignment="1" applyProtection="1">
      <alignment horizontal="right"/>
    </xf>
    <xf numFmtId="1" fontId="12" fillId="0" borderId="21" xfId="0" applyNumberFormat="1" applyFont="1" applyBorder="1" applyAlignment="1" applyProtection="1">
      <alignment horizontal="right"/>
    </xf>
    <xf numFmtId="0" fontId="15" fillId="0" borderId="0" xfId="0" applyFont="1"/>
    <xf numFmtId="0" fontId="18" fillId="0" borderId="0" xfId="0" applyFont="1"/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4" fontId="1" fillId="0" borderId="44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/>
    <xf numFmtId="3" fontId="0" fillId="0" borderId="0" xfId="0" applyNumberFormat="1"/>
    <xf numFmtId="3" fontId="12" fillId="0" borderId="0" xfId="0" applyNumberFormat="1" applyFont="1" applyBorder="1" applyAlignment="1" applyProtection="1"/>
    <xf numFmtId="3" fontId="12" fillId="0" borderId="0" xfId="0" applyNumberFormat="1" applyFont="1" applyBorder="1" applyAlignment="1" applyProtection="1">
      <alignment horizontal="center"/>
    </xf>
    <xf numFmtId="3" fontId="1" fillId="0" borderId="9" xfId="0" applyNumberFormat="1" applyFont="1" applyBorder="1" applyAlignment="1">
      <alignment horizontal="center"/>
    </xf>
    <xf numFmtId="3" fontId="11" fillId="0" borderId="57" xfId="0" applyNumberFormat="1" applyFont="1" applyBorder="1" applyAlignment="1" applyProtection="1">
      <alignment horizontal="right"/>
    </xf>
    <xf numFmtId="3" fontId="11" fillId="0" borderId="6" xfId="0" applyNumberFormat="1" applyFont="1" applyBorder="1" applyAlignment="1" applyProtection="1">
      <alignment horizontal="right"/>
    </xf>
    <xf numFmtId="3" fontId="0" fillId="0" borderId="3" xfId="0" applyNumberFormat="1" applyFont="1" applyBorder="1" applyAlignment="1" applyProtection="1">
      <alignment horizontal="right"/>
    </xf>
    <xf numFmtId="3" fontId="0" fillId="0" borderId="15" xfId="0" applyNumberFormat="1" applyFont="1" applyBorder="1" applyAlignment="1" applyProtection="1">
      <alignment horizontal="right"/>
    </xf>
    <xf numFmtId="3" fontId="12" fillId="0" borderId="61" xfId="0" applyNumberFormat="1" applyFont="1" applyBorder="1" applyAlignment="1" applyProtection="1">
      <alignment horizontal="right"/>
    </xf>
    <xf numFmtId="3" fontId="0" fillId="0" borderId="0" xfId="0" applyNumberFormat="1" applyFont="1" applyBorder="1" applyAlignment="1" applyProtection="1">
      <alignment horizontal="right"/>
    </xf>
    <xf numFmtId="3" fontId="4" fillId="0" borderId="57" xfId="0" applyNumberFormat="1" applyFont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right"/>
    </xf>
    <xf numFmtId="3" fontId="12" fillId="0" borderId="0" xfId="0" applyNumberFormat="1" applyFont="1" applyBorder="1" applyAlignment="1" applyProtection="1">
      <alignment horizontal="right"/>
    </xf>
    <xf numFmtId="3" fontId="4" fillId="0" borderId="27" xfId="0" applyNumberFormat="1" applyFont="1" applyBorder="1" applyAlignment="1" applyProtection="1">
      <alignment horizontal="right"/>
    </xf>
    <xf numFmtId="3" fontId="4" fillId="0" borderId="3" xfId="0" applyNumberFormat="1" applyFont="1" applyBorder="1" applyAlignment="1" applyProtection="1">
      <alignment horizontal="right"/>
    </xf>
    <xf numFmtId="3" fontId="12" fillId="0" borderId="62" xfId="0" applyNumberFormat="1" applyFont="1" applyBorder="1" applyAlignment="1" applyProtection="1">
      <alignment horizontal="right"/>
    </xf>
    <xf numFmtId="3" fontId="17" fillId="0" borderId="45" xfId="0" applyNumberFormat="1" applyFont="1" applyBorder="1" applyAlignment="1" applyProtection="1">
      <alignment horizontal="right"/>
    </xf>
    <xf numFmtId="3" fontId="17" fillId="0" borderId="3" xfId="0" applyNumberFormat="1" applyFont="1" applyBorder="1" applyAlignment="1" applyProtection="1">
      <alignment horizontal="right"/>
    </xf>
    <xf numFmtId="3" fontId="17" fillId="0" borderId="33" xfId="0" applyNumberFormat="1" applyFont="1" applyBorder="1" applyAlignment="1" applyProtection="1">
      <alignment horizontal="right"/>
    </xf>
    <xf numFmtId="3" fontId="17" fillId="0" borderId="62" xfId="0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1" fillId="0" borderId="5" xfId="0" applyNumberFormat="1" applyFont="1" applyBorder="1" applyAlignment="1" applyProtection="1">
      <alignment horizontal="right"/>
    </xf>
    <xf numFmtId="4" fontId="1" fillId="0" borderId="2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0" fontId="1" fillId="0" borderId="34" xfId="0" applyFont="1" applyBorder="1"/>
    <xf numFmtId="0" fontId="1" fillId="0" borderId="4" xfId="0" applyFont="1" applyBorder="1"/>
    <xf numFmtId="0" fontId="10" fillId="0" borderId="24" xfId="0" applyFont="1" applyBorder="1"/>
    <xf numFmtId="4" fontId="0" fillId="0" borderId="46" xfId="0" applyNumberFormat="1" applyFont="1" applyBorder="1" applyAlignment="1" applyProtection="1">
      <alignment horizontal="right"/>
    </xf>
    <xf numFmtId="4" fontId="10" fillId="0" borderId="46" xfId="0" applyNumberFormat="1" applyFont="1" applyBorder="1" applyAlignment="1" applyProtection="1">
      <alignment horizontal="right"/>
    </xf>
    <xf numFmtId="1" fontId="0" fillId="0" borderId="46" xfId="0" applyNumberFormat="1" applyFont="1" applyBorder="1" applyAlignment="1" applyProtection="1">
      <alignment horizontal="right"/>
    </xf>
    <xf numFmtId="1" fontId="0" fillId="0" borderId="47" xfId="0" applyNumberFormat="1" applyFont="1" applyBorder="1" applyAlignment="1" applyProtection="1">
      <alignment horizontal="right"/>
    </xf>
    <xf numFmtId="0" fontId="12" fillId="0" borderId="71" xfId="0" applyFont="1" applyBorder="1"/>
    <xf numFmtId="4" fontId="12" fillId="0" borderId="72" xfId="0" applyNumberFormat="1" applyFont="1" applyBorder="1" applyAlignment="1" applyProtection="1">
      <alignment horizontal="right"/>
    </xf>
    <xf numFmtId="1" fontId="12" fillId="0" borderId="72" xfId="0" applyNumberFormat="1" applyFont="1" applyBorder="1" applyAlignment="1" applyProtection="1">
      <alignment horizontal="right"/>
    </xf>
    <xf numFmtId="1" fontId="12" fillId="0" borderId="73" xfId="0" applyNumberFormat="1" applyFont="1" applyBorder="1" applyAlignment="1" applyProtection="1">
      <alignment horizontal="right"/>
    </xf>
    <xf numFmtId="0" fontId="0" fillId="0" borderId="24" xfId="0" applyBorder="1"/>
    <xf numFmtId="0" fontId="1" fillId="0" borderId="71" xfId="0" applyFont="1" applyFill="1" applyBorder="1" applyAlignment="1">
      <alignment horizontal="center"/>
    </xf>
    <xf numFmtId="0" fontId="11" fillId="0" borderId="72" xfId="0" applyFont="1" applyFill="1" applyBorder="1" applyAlignment="1" applyProtection="1">
      <alignment horizontal="center"/>
    </xf>
    <xf numFmtId="0" fontId="11" fillId="0" borderId="73" xfId="0" applyFont="1" applyFill="1" applyBorder="1" applyAlignment="1" applyProtection="1">
      <alignment horizontal="center"/>
    </xf>
    <xf numFmtId="4" fontId="11" fillId="0" borderId="72" xfId="0" applyNumberFormat="1" applyFont="1" applyFill="1" applyBorder="1" applyAlignment="1" applyProtection="1">
      <alignment horizontal="right"/>
    </xf>
    <xf numFmtId="4" fontId="10" fillId="0" borderId="29" xfId="0" applyNumberFormat="1" applyFont="1" applyFill="1" applyBorder="1" applyAlignment="1" applyProtection="1">
      <alignment horizontal="right"/>
    </xf>
    <xf numFmtId="1" fontId="10" fillId="0" borderId="29" xfId="0" applyNumberFormat="1" applyFont="1" applyFill="1" applyBorder="1" applyAlignment="1" applyProtection="1">
      <alignment horizontal="right"/>
    </xf>
    <xf numFmtId="0" fontId="1" fillId="0" borderId="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/>
    <xf numFmtId="0" fontId="1" fillId="0" borderId="75" xfId="0" applyFont="1" applyBorder="1" applyAlignment="1">
      <alignment horizontal="center"/>
    </xf>
    <xf numFmtId="0" fontId="1" fillId="0" borderId="75" xfId="0" applyFont="1" applyBorder="1"/>
    <xf numFmtId="4" fontId="1" fillId="0" borderId="76" xfId="0" applyNumberFormat="1" applyFont="1" applyBorder="1" applyAlignment="1" applyProtection="1">
      <alignment horizontal="right"/>
    </xf>
    <xf numFmtId="4" fontId="4" fillId="0" borderId="76" xfId="0" applyNumberFormat="1" applyFont="1" applyBorder="1" applyAlignment="1" applyProtection="1">
      <alignment horizontal="right"/>
    </xf>
    <xf numFmtId="0" fontId="0" fillId="0" borderId="40" xfId="0" applyBorder="1" applyAlignment="1">
      <alignment horizontal="center"/>
    </xf>
    <xf numFmtId="0" fontId="10" fillId="0" borderId="41" xfId="0" applyFont="1" applyBorder="1"/>
    <xf numFmtId="3" fontId="0" fillId="0" borderId="42" xfId="0" applyNumberFormat="1" applyFont="1" applyBorder="1" applyAlignment="1" applyProtection="1">
      <alignment horizontal="right"/>
    </xf>
    <xf numFmtId="0" fontId="11" fillId="0" borderId="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/>
    <xf numFmtId="0" fontId="0" fillId="0" borderId="74" xfId="0" applyBorder="1"/>
    <xf numFmtId="1" fontId="4" fillId="0" borderId="74" xfId="0" applyNumberFormat="1" applyFont="1" applyBorder="1" applyAlignment="1" applyProtection="1">
      <alignment horizontal="right"/>
    </xf>
    <xf numFmtId="1" fontId="0" fillId="0" borderId="74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4" fillId="0" borderId="77" xfId="0" applyNumberFormat="1" applyFont="1" applyBorder="1" applyAlignment="1" applyProtection="1">
      <alignment horizontal="right"/>
    </xf>
    <xf numFmtId="0" fontId="12" fillId="0" borderId="34" xfId="0" applyFont="1" applyFill="1" applyBorder="1"/>
    <xf numFmtId="4" fontId="12" fillId="0" borderId="35" xfId="0" applyNumberFormat="1" applyFont="1" applyFill="1" applyBorder="1" applyAlignment="1" applyProtection="1">
      <alignment horizontal="right"/>
    </xf>
    <xf numFmtId="1" fontId="12" fillId="0" borderId="35" xfId="0" applyNumberFormat="1" applyFont="1" applyFill="1" applyBorder="1" applyAlignment="1" applyProtection="1">
      <alignment horizontal="right"/>
    </xf>
    <xf numFmtId="1" fontId="12" fillId="0" borderId="36" xfId="0" applyNumberFormat="1" applyFont="1" applyFill="1" applyBorder="1" applyAlignment="1" applyProtection="1">
      <alignment horizontal="right"/>
    </xf>
    <xf numFmtId="0" fontId="10" fillId="0" borderId="28" xfId="0" applyFont="1" applyFill="1" applyBorder="1"/>
    <xf numFmtId="1" fontId="10" fillId="0" borderId="30" xfId="0" applyNumberFormat="1" applyFont="1" applyFill="1" applyBorder="1" applyAlignment="1" applyProtection="1">
      <alignment horizontal="right"/>
    </xf>
    <xf numFmtId="0" fontId="10" fillId="0" borderId="78" xfId="0" applyFont="1" applyFill="1" applyBorder="1"/>
    <xf numFmtId="4" fontId="10" fillId="0" borderId="79" xfId="0" applyNumberFormat="1" applyFont="1" applyFill="1" applyBorder="1" applyAlignment="1" applyProtection="1">
      <alignment horizontal="right"/>
    </xf>
    <xf numFmtId="1" fontId="10" fillId="0" borderId="79" xfId="0" applyNumberFormat="1" applyFont="1" applyFill="1" applyBorder="1" applyAlignment="1" applyProtection="1">
      <alignment horizontal="right"/>
    </xf>
    <xf numFmtId="1" fontId="10" fillId="0" borderId="80" xfId="0" applyNumberFormat="1" applyFont="1" applyFill="1" applyBorder="1" applyAlignment="1" applyProtection="1">
      <alignment horizontal="right"/>
    </xf>
    <xf numFmtId="4" fontId="15" fillId="0" borderId="0" xfId="0" applyNumberFormat="1" applyFont="1" applyFill="1"/>
    <xf numFmtId="4" fontId="0" fillId="0" borderId="0" xfId="0" applyNumberFormat="1" applyFill="1"/>
    <xf numFmtId="4" fontId="0" fillId="0" borderId="0" xfId="0" applyNumberFormat="1"/>
    <xf numFmtId="4" fontId="3" fillId="0" borderId="0" xfId="0" applyNumberFormat="1" applyFont="1"/>
    <xf numFmtId="4" fontId="10" fillId="0" borderId="0" xfId="0" applyNumberFormat="1" applyFont="1" applyFill="1"/>
    <xf numFmtId="4" fontId="14" fillId="0" borderId="0" xfId="0" applyNumberFormat="1" applyFont="1" applyFill="1"/>
    <xf numFmtId="0" fontId="13" fillId="0" borderId="20" xfId="0" applyFont="1" applyFill="1" applyBorder="1" applyAlignment="1">
      <alignment horizontal="left"/>
    </xf>
    <xf numFmtId="4" fontId="13" fillId="0" borderId="0" xfId="0" applyNumberFormat="1" applyFont="1" applyBorder="1" applyAlignment="1" applyProtection="1">
      <alignment horizontal="right"/>
    </xf>
    <xf numFmtId="4" fontId="6" fillId="0" borderId="0" xfId="0" applyNumberFormat="1" applyFont="1"/>
    <xf numFmtId="4" fontId="15" fillId="0" borderId="0" xfId="0" applyNumberFormat="1" applyFont="1"/>
    <xf numFmtId="4" fontId="12" fillId="0" borderId="0" xfId="0" applyNumberFormat="1" applyFont="1" applyAlignment="1">
      <alignment horizontal="center"/>
    </xf>
    <xf numFmtId="4" fontId="10" fillId="0" borderId="0" xfId="0" applyNumberFormat="1" applyFont="1"/>
    <xf numFmtId="0" fontId="1" fillId="0" borderId="11" xfId="0" applyFont="1" applyFill="1" applyBorder="1" applyAlignment="1" applyProtection="1">
      <alignment horizontal="center"/>
    </xf>
    <xf numFmtId="4" fontId="1" fillId="0" borderId="72" xfId="0" applyNumberFormat="1" applyFont="1" applyFill="1" applyBorder="1" applyAlignment="1" applyProtection="1">
      <alignment horizontal="right"/>
    </xf>
    <xf numFmtId="4" fontId="1" fillId="0" borderId="35" xfId="0" applyNumberFormat="1" applyFont="1" applyBorder="1" applyAlignment="1" applyProtection="1">
      <alignment horizontal="right"/>
    </xf>
    <xf numFmtId="4" fontId="10" fillId="0" borderId="2" xfId="0" applyNumberFormat="1" applyFont="1" applyBorder="1" applyAlignment="1" applyProtection="1">
      <alignment horizontal="right"/>
    </xf>
    <xf numFmtId="4" fontId="1" fillId="0" borderId="26" xfId="0" applyNumberFormat="1" applyFont="1" applyBorder="1" applyAlignment="1" applyProtection="1">
      <alignment horizontal="right"/>
    </xf>
    <xf numFmtId="4" fontId="10" fillId="0" borderId="41" xfId="0" applyNumberFormat="1" applyFont="1" applyBorder="1" applyAlignment="1" applyProtection="1">
      <alignment horizontal="right"/>
    </xf>
    <xf numFmtId="4" fontId="1" fillId="0" borderId="69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4" fontId="1" fillId="0" borderId="20" xfId="0" applyNumberFormat="1" applyFont="1" applyBorder="1" applyAlignment="1" applyProtection="1">
      <alignment horizontal="right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4" fontId="8" fillId="0" borderId="0" xfId="0" applyNumberFormat="1" applyFont="1"/>
    <xf numFmtId="4" fontId="1" fillId="0" borderId="0" xfId="0" applyNumberFormat="1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4" fontId="18" fillId="0" borderId="0" xfId="0" applyNumberFormat="1" applyFont="1"/>
    <xf numFmtId="4" fontId="14" fillId="0" borderId="0" xfId="0" applyNumberFormat="1" applyFont="1"/>
    <xf numFmtId="0" fontId="0" fillId="0" borderId="0" xfId="0" applyFill="1" applyBorder="1"/>
    <xf numFmtId="4" fontId="0" fillId="0" borderId="0" xfId="0" applyNumberForma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/>
    <xf numFmtId="4" fontId="11" fillId="0" borderId="0" xfId="0" applyNumberFormat="1" applyFont="1" applyFill="1" applyBorder="1" applyAlignment="1" applyProtection="1">
      <alignment horizontal="right"/>
    </xf>
    <xf numFmtId="4" fontId="14" fillId="0" borderId="0" xfId="0" applyNumberFormat="1" applyFont="1" applyFill="1" applyBorder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165" fontId="10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4" fontId="0" fillId="0" borderId="0" xfId="0" applyNumberFormat="1" applyBorder="1"/>
    <xf numFmtId="0" fontId="12" fillId="0" borderId="0" xfId="0" applyFont="1" applyBorder="1" applyAlignment="1" applyProtection="1">
      <alignment horizontal="center"/>
    </xf>
    <xf numFmtId="4" fontId="1" fillId="0" borderId="26" xfId="0" applyNumberFormat="1" applyFont="1" applyFill="1" applyBorder="1" applyAlignment="1" applyProtection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" xfId="0" applyNumberFormat="1" applyFont="1" applyFill="1" applyBorder="1" applyAlignment="1" applyProtection="1">
      <alignment horizontal="right"/>
    </xf>
    <xf numFmtId="0" fontId="1" fillId="0" borderId="20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 applyProtection="1">
      <alignment horizontal="right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4" fontId="17" fillId="0" borderId="8" xfId="0" applyNumberFormat="1" applyFont="1" applyBorder="1" applyAlignment="1" applyProtection="1">
      <alignment horizontal="right"/>
    </xf>
    <xf numFmtId="3" fontId="17" fillId="0" borderId="9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" fontId="12" fillId="0" borderId="17" xfId="0" applyNumberFormat="1" applyFont="1" applyBorder="1" applyAlignment="1" applyProtection="1">
      <alignment horizontal="right"/>
    </xf>
    <xf numFmtId="1" fontId="12" fillId="0" borderId="18" xfId="0" applyNumberFormat="1" applyFont="1" applyBorder="1" applyAlignment="1">
      <alignment horizontal="right"/>
    </xf>
    <xf numFmtId="0" fontId="12" fillId="0" borderId="16" xfId="0" applyFont="1" applyFill="1" applyBorder="1" applyAlignment="1" applyProtection="1">
      <alignment horizontal="left"/>
    </xf>
    <xf numFmtId="0" fontId="12" fillId="0" borderId="17" xfId="0" applyFont="1" applyFill="1" applyBorder="1"/>
    <xf numFmtId="4" fontId="12" fillId="0" borderId="17" xfId="0" applyNumberFormat="1" applyFont="1" applyBorder="1" applyAlignment="1" applyProtection="1">
      <alignment horizontal="right"/>
    </xf>
    <xf numFmtId="4" fontId="12" fillId="0" borderId="17" xfId="0" applyNumberFormat="1" applyFont="1" applyBorder="1" applyAlignment="1">
      <alignment horizontal="right"/>
    </xf>
    <xf numFmtId="1" fontId="12" fillId="0" borderId="17" xfId="0" applyNumberFormat="1" applyFont="1" applyBorder="1" applyAlignment="1">
      <alignment horizontal="right"/>
    </xf>
    <xf numFmtId="1" fontId="10" fillId="0" borderId="48" xfId="0" applyNumberFormat="1" applyFont="1" applyFill="1" applyBorder="1" applyAlignment="1" applyProtection="1">
      <alignment horizontal="right"/>
    </xf>
    <xf numFmtId="1" fontId="10" fillId="0" borderId="49" xfId="0" applyNumberFormat="1" applyFont="1" applyFill="1" applyBorder="1" applyAlignment="1" applyProtection="1">
      <alignment horizontal="right"/>
    </xf>
    <xf numFmtId="1" fontId="10" fillId="0" borderId="50" xfId="0" applyNumberFormat="1" applyFont="1" applyFill="1" applyBorder="1" applyAlignment="1" applyProtection="1">
      <alignment horizontal="right"/>
    </xf>
    <xf numFmtId="0" fontId="10" fillId="0" borderId="24" xfId="0" applyFont="1" applyFill="1" applyBorder="1" applyAlignment="1" applyProtection="1"/>
    <xf numFmtId="0" fontId="10" fillId="0" borderId="46" xfId="0" applyFont="1" applyFill="1" applyBorder="1"/>
    <xf numFmtId="4" fontId="10" fillId="0" borderId="46" xfId="0" applyNumberFormat="1" applyFont="1" applyFill="1" applyBorder="1" applyAlignment="1" applyProtection="1">
      <alignment horizontal="right"/>
    </xf>
    <xf numFmtId="1" fontId="10" fillId="0" borderId="46" xfId="0" applyNumberFormat="1" applyFont="1" applyFill="1" applyBorder="1" applyAlignment="1" applyProtection="1">
      <alignment horizontal="right"/>
    </xf>
    <xf numFmtId="1" fontId="10" fillId="0" borderId="46" xfId="0" applyNumberFormat="1" applyFont="1" applyFill="1" applyBorder="1" applyAlignment="1">
      <alignment horizontal="right"/>
    </xf>
    <xf numFmtId="1" fontId="10" fillId="0" borderId="47" xfId="0" applyNumberFormat="1" applyFont="1" applyFill="1" applyBorder="1" applyAlignment="1">
      <alignment horizontal="right"/>
    </xf>
    <xf numFmtId="0" fontId="10" fillId="0" borderId="4" xfId="0" applyFont="1" applyFill="1" applyBorder="1" applyAlignment="1" applyProtection="1"/>
    <xf numFmtId="0" fontId="10" fillId="0" borderId="5" xfId="0" applyFont="1" applyFill="1" applyBorder="1"/>
    <xf numFmtId="4" fontId="10" fillId="0" borderId="5" xfId="0" applyNumberFormat="1" applyFont="1" applyFill="1" applyBorder="1" applyAlignment="1" applyProtection="1">
      <alignment horizontal="right"/>
    </xf>
    <xf numFmtId="1" fontId="10" fillId="0" borderId="5" xfId="0" applyNumberFormat="1" applyFont="1" applyFill="1" applyBorder="1" applyAlignment="1" applyProtection="1">
      <alignment horizontal="right"/>
    </xf>
    <xf numFmtId="1" fontId="10" fillId="0" borderId="5" xfId="0" applyNumberFormat="1" applyFont="1" applyFill="1" applyBorder="1" applyAlignment="1">
      <alignment horizontal="right"/>
    </xf>
    <xf numFmtId="1" fontId="10" fillId="0" borderId="6" xfId="0" applyNumberFormat="1" applyFont="1" applyFill="1" applyBorder="1" applyAlignment="1">
      <alignment horizontal="right"/>
    </xf>
    <xf numFmtId="0" fontId="1" fillId="0" borderId="25" xfId="0" applyFont="1" applyFill="1" applyBorder="1" applyAlignment="1" applyProtection="1"/>
    <xf numFmtId="0" fontId="1" fillId="0" borderId="26" xfId="0" applyFont="1" applyFill="1" applyBorder="1"/>
    <xf numFmtId="4" fontId="1" fillId="0" borderId="26" xfId="0" applyNumberFormat="1" applyFont="1" applyFill="1" applyBorder="1" applyAlignment="1" applyProtection="1">
      <alignment horizontal="right"/>
    </xf>
    <xf numFmtId="1" fontId="1" fillId="0" borderId="26" xfId="0" applyNumberFormat="1" applyFont="1" applyFill="1" applyBorder="1" applyAlignment="1" applyProtection="1">
      <alignment horizontal="right"/>
    </xf>
    <xf numFmtId="1" fontId="1" fillId="0" borderId="26" xfId="0" applyNumberFormat="1" applyFont="1" applyFill="1" applyBorder="1" applyAlignment="1">
      <alignment horizontal="right"/>
    </xf>
    <xf numFmtId="0" fontId="10" fillId="0" borderId="13" xfId="0" applyFont="1" applyFill="1" applyBorder="1" applyAlignment="1" applyProtection="1"/>
    <xf numFmtId="0" fontId="10" fillId="0" borderId="14" xfId="0" applyFont="1" applyFill="1" applyBorder="1"/>
    <xf numFmtId="4" fontId="10" fillId="0" borderId="14" xfId="0" applyNumberFormat="1" applyFont="1" applyFill="1" applyBorder="1" applyAlignment="1" applyProtection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0" fillId="0" borderId="14" xfId="0" applyNumberFormat="1" applyFont="1" applyFill="1" applyBorder="1" applyAlignment="1" applyProtection="1">
      <alignment horizontal="right"/>
    </xf>
    <xf numFmtId="1" fontId="10" fillId="0" borderId="14" xfId="0" applyNumberFormat="1" applyFont="1" applyFill="1" applyBorder="1" applyAlignment="1">
      <alignment horizontal="right"/>
    </xf>
    <xf numFmtId="1" fontId="10" fillId="0" borderId="15" xfId="0" applyNumberFormat="1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left"/>
    </xf>
    <xf numFmtId="0" fontId="10" fillId="0" borderId="14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/>
    <xf numFmtId="0" fontId="10" fillId="0" borderId="2" xfId="0" applyFont="1" applyFill="1" applyBorder="1"/>
    <xf numFmtId="4" fontId="10" fillId="0" borderId="2" xfId="0" applyNumberFormat="1" applyFont="1" applyFill="1" applyBorder="1" applyAlignment="1" applyProtection="1">
      <alignment horizontal="right"/>
    </xf>
    <xf numFmtId="1" fontId="10" fillId="0" borderId="2" xfId="0" applyNumberFormat="1" applyFont="1" applyFill="1" applyBorder="1" applyAlignment="1" applyProtection="1">
      <alignment horizontal="right"/>
    </xf>
    <xf numFmtId="1" fontId="10" fillId="0" borderId="2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1" fontId="1" fillId="0" borderId="35" xfId="0" applyNumberFormat="1" applyFont="1" applyFill="1" applyBorder="1" applyAlignment="1" applyProtection="1">
      <alignment horizontal="right"/>
    </xf>
    <xf numFmtId="1" fontId="1" fillId="0" borderId="35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right"/>
    </xf>
    <xf numFmtId="0" fontId="1" fillId="0" borderId="34" xfId="0" applyFont="1" applyFill="1" applyBorder="1" applyAlignment="1" applyProtection="1"/>
    <xf numFmtId="0" fontId="1" fillId="0" borderId="35" xfId="0" applyFont="1" applyFill="1" applyBorder="1"/>
    <xf numFmtId="4" fontId="1" fillId="0" borderId="35" xfId="0" applyNumberFormat="1" applyFont="1" applyFill="1" applyBorder="1" applyAlignment="1" applyProtection="1">
      <alignment horizontal="right"/>
    </xf>
    <xf numFmtId="4" fontId="10" fillId="0" borderId="29" xfId="0" applyNumberFormat="1" applyFont="1" applyFill="1" applyBorder="1" applyAlignment="1" applyProtection="1">
      <alignment horizontal="right"/>
    </xf>
    <xf numFmtId="0" fontId="10" fillId="0" borderId="29" xfId="0" applyFont="1" applyFill="1" applyBorder="1"/>
    <xf numFmtId="1" fontId="10" fillId="0" borderId="29" xfId="0" applyNumberFormat="1" applyFont="1" applyFill="1" applyBorder="1" applyAlignment="1" applyProtection="1">
      <alignment horizontal="right"/>
    </xf>
    <xf numFmtId="1" fontId="10" fillId="0" borderId="29" xfId="0" applyNumberFormat="1" applyFont="1" applyFill="1" applyBorder="1"/>
    <xf numFmtId="1" fontId="10" fillId="0" borderId="30" xfId="0" applyNumberFormat="1" applyFont="1" applyFill="1" applyBorder="1" applyAlignment="1">
      <alignment horizontal="right"/>
    </xf>
    <xf numFmtId="0" fontId="12" fillId="0" borderId="19" xfId="0" applyFont="1" applyFill="1" applyBorder="1" applyAlignment="1" applyProtection="1">
      <alignment horizontal="left"/>
    </xf>
    <xf numFmtId="0" fontId="12" fillId="0" borderId="20" xfId="0" applyFont="1" applyFill="1" applyBorder="1"/>
    <xf numFmtId="0" fontId="12" fillId="0" borderId="20" xfId="0" applyFont="1" applyFill="1" applyBorder="1" applyAlignment="1" applyProtection="1">
      <alignment horizontal="left"/>
    </xf>
    <xf numFmtId="1" fontId="12" fillId="0" borderId="20" xfId="0" applyNumberFormat="1" applyFont="1" applyFill="1" applyBorder="1" applyAlignment="1" applyProtection="1">
      <alignment horizontal="left"/>
    </xf>
    <xf numFmtId="1" fontId="12" fillId="0" borderId="20" xfId="0" applyNumberFormat="1" applyFont="1" applyFill="1" applyBorder="1"/>
    <xf numFmtId="1" fontId="12" fillId="0" borderId="20" xfId="0" applyNumberFormat="1" applyFont="1" applyFill="1" applyBorder="1" applyAlignment="1" applyProtection="1">
      <alignment horizontal="right"/>
    </xf>
    <xf numFmtId="1" fontId="12" fillId="0" borderId="21" xfId="0" applyNumberFormat="1" applyFont="1" applyFill="1" applyBorder="1" applyAlignment="1">
      <alignment horizontal="right"/>
    </xf>
    <xf numFmtId="0" fontId="10" fillId="0" borderId="28" xfId="0" applyFont="1" applyFill="1" applyBorder="1" applyAlignment="1" applyProtection="1"/>
    <xf numFmtId="4" fontId="12" fillId="0" borderId="20" xfId="0" applyNumberFormat="1" applyFont="1" applyFill="1" applyBorder="1" applyAlignment="1" applyProtection="1">
      <alignment horizontal="right"/>
    </xf>
    <xf numFmtId="1" fontId="12" fillId="0" borderId="21" xfId="0" applyNumberFormat="1" applyFont="1" applyFill="1" applyBorder="1" applyAlignment="1" applyProtection="1">
      <alignment horizontal="right"/>
    </xf>
    <xf numFmtId="1" fontId="1" fillId="0" borderId="26" xfId="0" applyNumberFormat="1" applyFont="1" applyFill="1" applyBorder="1"/>
    <xf numFmtId="1" fontId="1" fillId="0" borderId="35" xfId="0" applyNumberFormat="1" applyFont="1" applyFill="1" applyBorder="1"/>
    <xf numFmtId="1" fontId="1" fillId="0" borderId="36" xfId="0" applyNumberFormat="1" applyFont="1" applyFill="1" applyBorder="1"/>
    <xf numFmtId="0" fontId="12" fillId="0" borderId="10" xfId="0" applyFont="1" applyFill="1" applyBorder="1" applyAlignment="1" applyProtection="1"/>
    <xf numFmtId="0" fontId="15" fillId="0" borderId="11" xfId="0" applyFont="1" applyFill="1" applyBorder="1"/>
    <xf numFmtId="4" fontId="12" fillId="0" borderId="11" xfId="0" applyNumberFormat="1" applyFont="1" applyFill="1" applyBorder="1" applyAlignment="1" applyProtection="1">
      <alignment horizontal="right"/>
    </xf>
    <xf numFmtId="4" fontId="16" fillId="0" borderId="11" xfId="0" applyNumberFormat="1" applyFont="1" applyFill="1" applyBorder="1" applyAlignment="1" applyProtection="1">
      <alignment horizontal="right"/>
    </xf>
    <xf numFmtId="164" fontId="16" fillId="0" borderId="11" xfId="0" applyNumberFormat="1" applyFont="1" applyFill="1" applyBorder="1" applyAlignment="1" applyProtection="1">
      <alignment horizontal="right"/>
    </xf>
    <xf numFmtId="0" fontId="15" fillId="0" borderId="12" xfId="0" applyFont="1" applyFill="1" applyBorder="1"/>
    <xf numFmtId="0" fontId="7" fillId="0" borderId="31" xfId="0" applyFont="1" applyFill="1" applyBorder="1" applyAlignment="1">
      <alignment horizontal="center"/>
    </xf>
    <xf numFmtId="0" fontId="0" fillId="0" borderId="32" xfId="0" applyFill="1" applyBorder="1"/>
    <xf numFmtId="0" fontId="7" fillId="0" borderId="32" xfId="0" applyFont="1" applyFill="1" applyBorder="1" applyAlignment="1">
      <alignment horizontal="center"/>
    </xf>
    <xf numFmtId="0" fontId="0" fillId="0" borderId="33" xfId="0" applyFill="1" applyBorder="1"/>
    <xf numFmtId="0" fontId="7" fillId="0" borderId="43" xfId="0" applyFont="1" applyFill="1" applyBorder="1" applyAlignment="1">
      <alignment horizontal="center"/>
    </xf>
    <xf numFmtId="0" fontId="0" fillId="0" borderId="44" xfId="0" applyFill="1" applyBorder="1"/>
    <xf numFmtId="0" fontId="1" fillId="0" borderId="44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7" fillId="0" borderId="44" xfId="0" applyFont="1" applyFill="1" applyBorder="1" applyAlignment="1">
      <alignment horizontal="center"/>
    </xf>
    <xf numFmtId="0" fontId="0" fillId="0" borderId="45" xfId="0" applyFill="1" applyBorder="1"/>
    <xf numFmtId="1" fontId="10" fillId="0" borderId="14" xfId="0" applyNumberFormat="1" applyFont="1" applyFill="1" applyBorder="1"/>
    <xf numFmtId="1" fontId="10" fillId="0" borderId="6" xfId="0" applyNumberFormat="1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0" fillId="0" borderId="44" xfId="0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activeCell="C10" sqref="C10"/>
    </sheetView>
  </sheetViews>
  <sheetFormatPr defaultRowHeight="12.75" x14ac:dyDescent="0.2"/>
  <cols>
    <col min="1" max="1" width="71.7109375" customWidth="1"/>
    <col min="2" max="2" width="20" customWidth="1"/>
    <col min="3" max="3" width="19.85546875" customWidth="1"/>
    <col min="4" max="4" width="17.7109375" customWidth="1"/>
    <col min="5" max="5" width="17.28515625" customWidth="1"/>
    <col min="6" max="6" width="14.5703125" customWidth="1"/>
    <col min="7" max="7" width="12.140625" customWidth="1"/>
    <col min="10" max="10" width="13.7109375" customWidth="1"/>
    <col min="11" max="11" width="18.42578125" style="323" customWidth="1"/>
    <col min="12" max="12" width="15.42578125" style="323" customWidth="1"/>
  </cols>
  <sheetData>
    <row r="1" spans="1:12" s="8" customFormat="1" x14ac:dyDescent="0.2">
      <c r="A1" s="8" t="s">
        <v>234</v>
      </c>
      <c r="K1" s="323"/>
      <c r="L1" s="323"/>
    </row>
    <row r="2" spans="1:12" s="8" customFormat="1" x14ac:dyDescent="0.2">
      <c r="A2" s="8" t="s">
        <v>235</v>
      </c>
      <c r="K2" s="323"/>
      <c r="L2" s="323"/>
    </row>
    <row r="3" spans="1:12" s="8" customFormat="1" x14ac:dyDescent="0.2">
      <c r="A3" s="8" t="s">
        <v>236</v>
      </c>
      <c r="K3" s="323"/>
      <c r="L3" s="323"/>
    </row>
    <row r="4" spans="1:12" x14ac:dyDescent="0.2">
      <c r="A4" t="s">
        <v>237</v>
      </c>
    </row>
    <row r="5" spans="1:12" s="8" customFormat="1" x14ac:dyDescent="0.2">
      <c r="K5" s="323"/>
      <c r="L5" s="323"/>
    </row>
    <row r="6" spans="1:12" s="1" customFormat="1" ht="31.9" customHeight="1" x14ac:dyDescent="0.25">
      <c r="A6" s="373" t="s">
        <v>364</v>
      </c>
      <c r="B6" s="373"/>
      <c r="C6" s="373"/>
      <c r="D6" s="373"/>
      <c r="E6" s="373"/>
      <c r="F6" s="373"/>
      <c r="G6" s="373"/>
      <c r="K6" s="324"/>
      <c r="L6" s="324"/>
    </row>
    <row r="7" spans="1:12" ht="27.6" customHeight="1" x14ac:dyDescent="0.2">
      <c r="A7" s="374" t="s">
        <v>365</v>
      </c>
      <c r="B7" s="375"/>
      <c r="C7" s="375"/>
      <c r="D7" s="375"/>
      <c r="E7" s="375"/>
      <c r="F7" s="375"/>
      <c r="G7" s="375"/>
    </row>
    <row r="8" spans="1:12" x14ac:dyDescent="0.2">
      <c r="A8" s="376" t="s">
        <v>238</v>
      </c>
      <c r="B8" s="377"/>
      <c r="C8" s="377"/>
      <c r="D8" s="377"/>
      <c r="E8" s="377"/>
      <c r="F8" s="377"/>
    </row>
    <row r="9" spans="1:12" s="8" customFormat="1" ht="13.5" thickBot="1" x14ac:dyDescent="0.25">
      <c r="A9" s="18"/>
      <c r="K9" s="323"/>
      <c r="L9" s="323"/>
    </row>
    <row r="10" spans="1:12" s="10" customFormat="1" ht="26.25" customHeight="1" thickTop="1" thickBot="1" x14ac:dyDescent="0.25">
      <c r="A10" s="11" t="s">
        <v>1</v>
      </c>
      <c r="B10" s="269" t="s">
        <v>329</v>
      </c>
      <c r="C10" s="472" t="s">
        <v>381</v>
      </c>
      <c r="D10" s="269" t="s">
        <v>367</v>
      </c>
      <c r="E10" s="269" t="s">
        <v>368</v>
      </c>
      <c r="F10" s="12" t="s">
        <v>2</v>
      </c>
      <c r="G10" s="13" t="s">
        <v>3</v>
      </c>
      <c r="J10" s="350"/>
      <c r="K10" s="351"/>
      <c r="L10" s="351"/>
    </row>
    <row r="11" spans="1:12" s="14" customFormat="1" ht="18.75" customHeight="1" thickTop="1" thickBot="1" x14ac:dyDescent="0.25">
      <c r="A11" s="20" t="s">
        <v>4</v>
      </c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2" t="s">
        <v>10</v>
      </c>
      <c r="J11" s="352"/>
      <c r="K11" s="353"/>
      <c r="L11" s="353"/>
    </row>
    <row r="12" spans="1:12" s="10" customFormat="1" x14ac:dyDescent="0.2">
      <c r="A12" s="26" t="s">
        <v>11</v>
      </c>
      <c r="B12" s="27">
        <v>1509982.85</v>
      </c>
      <c r="C12" s="19">
        <f>1805389+5371</f>
        <v>1810760</v>
      </c>
      <c r="D12" s="19">
        <f>1805389+5371</f>
        <v>1810760</v>
      </c>
      <c r="E12" s="19">
        <v>1740426.91</v>
      </c>
      <c r="F12" s="43">
        <f>E12/B12*100</f>
        <v>115.26136935926125</v>
      </c>
      <c r="G12" s="44">
        <f>E12/D12*100</f>
        <v>96.11582484702555</v>
      </c>
      <c r="J12" s="354"/>
      <c r="K12" s="355"/>
      <c r="L12" s="351"/>
    </row>
    <row r="13" spans="1:12" s="10" customFormat="1" x14ac:dyDescent="0.2">
      <c r="A13" s="24" t="s">
        <v>240</v>
      </c>
      <c r="B13" s="25">
        <v>384.9</v>
      </c>
      <c r="C13" s="23">
        <v>0</v>
      </c>
      <c r="D13" s="23">
        <v>0</v>
      </c>
      <c r="E13" s="23">
        <v>0</v>
      </c>
      <c r="F13" s="45">
        <f>E13/B13*100</f>
        <v>0</v>
      </c>
      <c r="G13" s="46" t="e">
        <f>E13/D13*100</f>
        <v>#DIV/0!</v>
      </c>
      <c r="J13" s="354"/>
      <c r="K13" s="351"/>
      <c r="L13" s="351"/>
    </row>
    <row r="14" spans="1:12" s="140" customFormat="1" x14ac:dyDescent="0.2">
      <c r="A14" s="217" t="s">
        <v>12</v>
      </c>
      <c r="B14" s="218">
        <f>B12+B13</f>
        <v>1510367.75</v>
      </c>
      <c r="C14" s="218">
        <f t="shared" ref="C14:E14" si="0">C12+C13</f>
        <v>1810760</v>
      </c>
      <c r="D14" s="218">
        <f t="shared" si="0"/>
        <v>1810760</v>
      </c>
      <c r="E14" s="218">
        <f t="shared" si="0"/>
        <v>1740426.91</v>
      </c>
      <c r="F14" s="219">
        <f t="shared" ref="F14:F30" si="1">E14/B14*100</f>
        <v>115.23199631348061</v>
      </c>
      <c r="G14" s="220">
        <f t="shared" ref="G14:G30" si="2">E14/D14*100</f>
        <v>96.11582484702555</v>
      </c>
      <c r="J14" s="356"/>
      <c r="K14" s="357"/>
      <c r="L14" s="356"/>
    </row>
    <row r="15" spans="1:12" s="10" customFormat="1" x14ac:dyDescent="0.2">
      <c r="A15" s="26" t="s">
        <v>13</v>
      </c>
      <c r="B15" s="27">
        <v>1511111.74</v>
      </c>
      <c r="C15" s="19">
        <v>1785790</v>
      </c>
      <c r="D15" s="19">
        <v>1785795</v>
      </c>
      <c r="E15" s="19">
        <v>1705840.89</v>
      </c>
      <c r="F15" s="43">
        <f t="shared" si="1"/>
        <v>112.88648250459626</v>
      </c>
      <c r="G15" s="44">
        <f t="shared" si="2"/>
        <v>95.522772210696075</v>
      </c>
      <c r="J15" s="354"/>
      <c r="K15" s="355"/>
      <c r="L15" s="351"/>
    </row>
    <row r="16" spans="1:12" s="10" customFormat="1" x14ac:dyDescent="0.2">
      <c r="A16" s="24" t="s">
        <v>239</v>
      </c>
      <c r="B16" s="25">
        <v>12959.07</v>
      </c>
      <c r="C16" s="23">
        <v>30946</v>
      </c>
      <c r="D16" s="23">
        <v>30941</v>
      </c>
      <c r="E16" s="23">
        <v>16545.669999999998</v>
      </c>
      <c r="F16" s="45">
        <f t="shared" si="1"/>
        <v>127.67636875176997</v>
      </c>
      <c r="G16" s="46">
        <f t="shared" si="2"/>
        <v>53.474903849261487</v>
      </c>
      <c r="J16" s="354"/>
      <c r="K16" s="351"/>
      <c r="L16" s="351"/>
    </row>
    <row r="17" spans="1:12" s="140" customFormat="1" x14ac:dyDescent="0.2">
      <c r="A17" s="217" t="s">
        <v>15</v>
      </c>
      <c r="B17" s="218">
        <f>B15+B16</f>
        <v>1524070.81</v>
      </c>
      <c r="C17" s="218">
        <f t="shared" ref="C17:D17" si="3">C15+C16</f>
        <v>1816736</v>
      </c>
      <c r="D17" s="218">
        <f t="shared" si="3"/>
        <v>1816736</v>
      </c>
      <c r="E17" s="218">
        <f>E15+E16</f>
        <v>1722386.5599999998</v>
      </c>
      <c r="F17" s="219">
        <f t="shared" si="1"/>
        <v>113.0122398971738</v>
      </c>
      <c r="G17" s="220">
        <f t="shared" si="2"/>
        <v>94.806651048914077</v>
      </c>
      <c r="J17" s="356"/>
      <c r="K17" s="356"/>
      <c r="L17" s="356"/>
    </row>
    <row r="18" spans="1:12" s="10" customFormat="1" ht="13.5" thickBot="1" x14ac:dyDescent="0.25">
      <c r="A18" s="39" t="s">
        <v>16</v>
      </c>
      <c r="B18" s="40">
        <f>B14-B17</f>
        <v>-13703.060000000056</v>
      </c>
      <c r="C18" s="41">
        <f t="shared" ref="C18:E18" si="4">C14-C17</f>
        <v>-5976</v>
      </c>
      <c r="D18" s="41">
        <f t="shared" si="4"/>
        <v>-5976</v>
      </c>
      <c r="E18" s="41">
        <f t="shared" si="4"/>
        <v>18040.350000000093</v>
      </c>
      <c r="F18" s="47">
        <f t="shared" si="1"/>
        <v>-131.65198138226074</v>
      </c>
      <c r="G18" s="48">
        <f t="shared" si="2"/>
        <v>-301.88002008032282</v>
      </c>
      <c r="J18" s="351"/>
      <c r="K18" s="355"/>
      <c r="L18" s="351"/>
    </row>
    <row r="19" spans="1:12" s="14" customFormat="1" ht="18.75" customHeight="1" thickBot="1" x14ac:dyDescent="0.25">
      <c r="A19" s="30" t="s">
        <v>17</v>
      </c>
      <c r="B19" s="31" t="s">
        <v>0</v>
      </c>
      <c r="C19" s="327" t="s">
        <v>0</v>
      </c>
      <c r="D19" s="327" t="s">
        <v>0</v>
      </c>
      <c r="E19" s="31" t="s">
        <v>0</v>
      </c>
      <c r="F19" s="49"/>
      <c r="G19" s="50"/>
      <c r="J19" s="352"/>
      <c r="K19" s="358"/>
      <c r="L19" s="353"/>
    </row>
    <row r="20" spans="1:12" s="14" customFormat="1" x14ac:dyDescent="0.2">
      <c r="A20" s="34" t="s">
        <v>241</v>
      </c>
      <c r="B20" s="35">
        <v>0</v>
      </c>
      <c r="C20" s="19">
        <v>0</v>
      </c>
      <c r="D20" s="19">
        <v>0</v>
      </c>
      <c r="E20" s="27">
        <v>0</v>
      </c>
      <c r="F20" s="51"/>
      <c r="G20" s="52"/>
      <c r="J20" s="352"/>
      <c r="K20" s="358"/>
      <c r="L20" s="353"/>
    </row>
    <row r="21" spans="1:12" s="14" customFormat="1" x14ac:dyDescent="0.2">
      <c r="A21" s="24" t="s">
        <v>242</v>
      </c>
      <c r="B21" s="25">
        <v>0</v>
      </c>
      <c r="C21" s="23">
        <v>0</v>
      </c>
      <c r="D21" s="23">
        <v>0</v>
      </c>
      <c r="E21" s="25">
        <v>0</v>
      </c>
      <c r="F21" s="53"/>
      <c r="G21" s="54"/>
      <c r="J21" s="352"/>
      <c r="K21" s="358"/>
      <c r="L21" s="353"/>
    </row>
    <row r="22" spans="1:12" s="14" customFormat="1" x14ac:dyDescent="0.2">
      <c r="A22" s="37" t="s">
        <v>243</v>
      </c>
      <c r="B22" s="38">
        <f>B20-B21</f>
        <v>0</v>
      </c>
      <c r="C22" s="364">
        <f t="shared" ref="C22:E22" si="5">C20-C21</f>
        <v>0</v>
      </c>
      <c r="D22" s="364">
        <f>D20-D21</f>
        <v>0</v>
      </c>
      <c r="E22" s="38">
        <f t="shared" si="5"/>
        <v>0</v>
      </c>
      <c r="F22" s="55"/>
      <c r="G22" s="56"/>
      <c r="J22" s="352"/>
      <c r="K22" s="358"/>
      <c r="L22" s="353"/>
    </row>
    <row r="23" spans="1:12" s="14" customFormat="1" ht="13.5" thickBot="1" x14ac:dyDescent="0.25">
      <c r="A23" s="39" t="s">
        <v>244</v>
      </c>
      <c r="B23" s="40">
        <f>B18+B22</f>
        <v>-13703.060000000056</v>
      </c>
      <c r="C23" s="41">
        <f t="shared" ref="C23:E23" si="6">C18+C22</f>
        <v>-5976</v>
      </c>
      <c r="D23" s="41">
        <f t="shared" si="6"/>
        <v>-5976</v>
      </c>
      <c r="E23" s="40">
        <f t="shared" si="6"/>
        <v>18040.350000000093</v>
      </c>
      <c r="F23" s="57">
        <f t="shared" si="1"/>
        <v>-131.65198138226074</v>
      </c>
      <c r="G23" s="58">
        <f t="shared" si="2"/>
        <v>-301.88002008032282</v>
      </c>
      <c r="J23" s="352"/>
      <c r="K23" s="358"/>
      <c r="L23" s="353"/>
    </row>
    <row r="24" spans="1:12" s="14" customFormat="1" ht="18.75" customHeight="1" thickBot="1" x14ac:dyDescent="0.25">
      <c r="A24" s="30" t="s">
        <v>214</v>
      </c>
      <c r="B24" s="31" t="s">
        <v>0</v>
      </c>
      <c r="C24" s="365" t="s">
        <v>0</v>
      </c>
      <c r="D24" s="365" t="s">
        <v>0</v>
      </c>
      <c r="E24" s="31" t="s">
        <v>0</v>
      </c>
      <c r="F24" s="49"/>
      <c r="G24" s="50"/>
      <c r="J24" s="352"/>
      <c r="K24" s="358"/>
      <c r="L24" s="353"/>
    </row>
    <row r="25" spans="1:12" s="14" customFormat="1" x14ac:dyDescent="0.2">
      <c r="A25" s="26" t="s">
        <v>213</v>
      </c>
      <c r="B25" s="27">
        <v>19677.98</v>
      </c>
      <c r="C25" s="19">
        <v>5976</v>
      </c>
      <c r="D25" s="19">
        <v>5976</v>
      </c>
      <c r="E25" s="27">
        <v>5974.92</v>
      </c>
      <c r="F25" s="51">
        <f t="shared" si="1"/>
        <v>30.363482430615342</v>
      </c>
      <c r="G25" s="52">
        <f t="shared" si="2"/>
        <v>99.981927710843379</v>
      </c>
      <c r="J25" s="354"/>
      <c r="K25" s="353"/>
      <c r="L25" s="353"/>
    </row>
    <row r="26" spans="1:12" s="14" customFormat="1" ht="25.5" x14ac:dyDescent="0.2">
      <c r="A26" s="16" t="s">
        <v>216</v>
      </c>
      <c r="B26" s="15">
        <v>19677.98</v>
      </c>
      <c r="C26" s="366">
        <v>5976</v>
      </c>
      <c r="D26" s="366">
        <v>5976</v>
      </c>
      <c r="E26" s="15"/>
      <c r="F26" s="59"/>
      <c r="G26" s="60"/>
      <c r="J26" s="354"/>
      <c r="K26" s="353"/>
      <c r="L26" s="353"/>
    </row>
    <row r="27" spans="1:12" s="14" customFormat="1" ht="27.6" customHeight="1" x14ac:dyDescent="0.2">
      <c r="A27" s="16" t="s">
        <v>217</v>
      </c>
      <c r="B27" s="15"/>
      <c r="C27" s="366"/>
      <c r="D27" s="366"/>
      <c r="E27" s="15"/>
      <c r="F27" s="59"/>
      <c r="G27" s="60"/>
      <c r="J27" s="352"/>
      <c r="K27" s="353"/>
      <c r="L27" s="353"/>
    </row>
    <row r="28" spans="1:12" s="14" customFormat="1" ht="27.6" customHeight="1" thickBot="1" x14ac:dyDescent="0.25">
      <c r="A28" s="36" t="s">
        <v>218</v>
      </c>
      <c r="B28" s="25">
        <f>B25</f>
        <v>19677.98</v>
      </c>
      <c r="C28" s="23">
        <f>C25</f>
        <v>5976</v>
      </c>
      <c r="D28" s="23">
        <f>D25</f>
        <v>5976</v>
      </c>
      <c r="E28" s="25">
        <f>E25</f>
        <v>5974.92</v>
      </c>
      <c r="F28" s="53">
        <f t="shared" si="1"/>
        <v>30.363482430615342</v>
      </c>
      <c r="G28" s="54">
        <f t="shared" si="2"/>
        <v>99.981927710843379</v>
      </c>
      <c r="J28" s="352"/>
      <c r="K28" s="353"/>
      <c r="L28" s="353"/>
    </row>
    <row r="29" spans="1:12" s="17" customFormat="1" ht="27.6" customHeight="1" thickBot="1" x14ac:dyDescent="0.25">
      <c r="A29" s="32" t="s">
        <v>215</v>
      </c>
      <c r="B29" s="42"/>
      <c r="C29" s="367"/>
      <c r="D29" s="367"/>
      <c r="E29" s="33"/>
      <c r="F29" s="61"/>
      <c r="G29" s="62"/>
      <c r="J29" s="359"/>
      <c r="K29" s="360"/>
      <c r="L29" s="360"/>
    </row>
    <row r="30" spans="1:12" s="17" customFormat="1" ht="15" customHeight="1" thickBot="1" x14ac:dyDescent="0.25">
      <c r="A30" s="28" t="s">
        <v>233</v>
      </c>
      <c r="B30" s="29">
        <f>B18+B22+B28</f>
        <v>5974.9199999999437</v>
      </c>
      <c r="C30" s="368">
        <f t="shared" ref="C30:E30" si="7">C18+C22+C28</f>
        <v>0</v>
      </c>
      <c r="D30" s="368">
        <f>D18+D22+D28</f>
        <v>0</v>
      </c>
      <c r="E30" s="29">
        <f t="shared" si="7"/>
        <v>24015.270000000091</v>
      </c>
      <c r="F30" s="63">
        <f t="shared" si="1"/>
        <v>401.93458657187574</v>
      </c>
      <c r="G30" s="64" t="e">
        <f t="shared" si="2"/>
        <v>#DIV/0!</v>
      </c>
      <c r="J30" s="360"/>
      <c r="K30" s="361"/>
      <c r="L30" s="360"/>
    </row>
    <row r="31" spans="1:12" ht="8.25" customHeight="1" thickTop="1" x14ac:dyDescent="0.2">
      <c r="A31" s="6"/>
      <c r="B31" s="4"/>
      <c r="C31" s="328"/>
      <c r="D31" s="328"/>
      <c r="E31" s="4"/>
      <c r="F31" s="5"/>
      <c r="G31" s="5"/>
      <c r="J31" s="293"/>
      <c r="K31" s="362"/>
      <c r="L31" s="362"/>
    </row>
    <row r="32" spans="1:12" x14ac:dyDescent="0.2">
      <c r="C32" s="129"/>
      <c r="D32" s="129"/>
      <c r="J32" s="293"/>
      <c r="K32" s="362"/>
      <c r="L32" s="362"/>
    </row>
    <row r="33" spans="10:12" x14ac:dyDescent="0.2">
      <c r="J33" s="293"/>
      <c r="K33" s="362"/>
      <c r="L33" s="362"/>
    </row>
    <row r="34" spans="10:12" x14ac:dyDescent="0.2">
      <c r="J34" s="293"/>
      <c r="K34" s="362"/>
      <c r="L34" s="362"/>
    </row>
    <row r="35" spans="10:12" ht="12.75" customHeight="1" x14ac:dyDescent="0.2">
      <c r="J35" s="293"/>
      <c r="K35" s="362"/>
      <c r="L35" s="362"/>
    </row>
    <row r="40" spans="10:12" ht="36.75" customHeight="1" x14ac:dyDescent="0.2"/>
    <row r="42" spans="10:12" ht="28.5" customHeight="1" x14ac:dyDescent="0.2"/>
  </sheetData>
  <mergeCells count="3">
    <mergeCell ref="A6:G6"/>
    <mergeCell ref="A7:G7"/>
    <mergeCell ref="A8:F8"/>
  </mergeCells>
  <pageMargins left="0.74803149606299213" right="0.74803149606299213" top="0.78740157480314965" bottom="0.78740157480314965" header="0.51181102362204722" footer="0.51181102362204722"/>
  <pageSetup scale="7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selection activeCell="C11" sqref="C11"/>
    </sheetView>
  </sheetViews>
  <sheetFormatPr defaultRowHeight="12.75" x14ac:dyDescent="0.2"/>
  <cols>
    <col min="1" max="1" width="78.42578125" customWidth="1"/>
    <col min="2" max="2" width="18.42578125" customWidth="1"/>
    <col min="3" max="3" width="20.28515625" style="65" customWidth="1"/>
    <col min="4" max="4" width="17.28515625" style="65" customWidth="1"/>
    <col min="5" max="5" width="16.28515625" customWidth="1"/>
    <col min="6" max="7" width="7.5703125" customWidth="1"/>
    <col min="10" max="10" width="15" style="323" customWidth="1"/>
  </cols>
  <sheetData>
    <row r="1" spans="1:10" s="9" customFormat="1" x14ac:dyDescent="0.2">
      <c r="A1" s="9" t="s">
        <v>234</v>
      </c>
      <c r="C1" s="65"/>
      <c r="D1" s="65"/>
      <c r="J1" s="323"/>
    </row>
    <row r="2" spans="1:10" s="9" customFormat="1" x14ac:dyDescent="0.2">
      <c r="A2" s="9" t="s">
        <v>235</v>
      </c>
      <c r="C2" s="65"/>
      <c r="D2" s="65"/>
      <c r="J2" s="323"/>
    </row>
    <row r="3" spans="1:10" s="9" customFormat="1" x14ac:dyDescent="0.2">
      <c r="A3" s="9" t="s">
        <v>236</v>
      </c>
      <c r="C3" s="65"/>
      <c r="D3" s="65"/>
      <c r="J3" s="323"/>
    </row>
    <row r="4" spans="1:10" s="9" customFormat="1" x14ac:dyDescent="0.2">
      <c r="A4" s="9" t="s">
        <v>237</v>
      </c>
      <c r="C4" s="65"/>
      <c r="D4" s="65"/>
      <c r="J4" s="323"/>
    </row>
    <row r="5" spans="1:10" x14ac:dyDescent="0.2">
      <c r="A5" s="378"/>
      <c r="B5" s="378"/>
      <c r="C5" s="378"/>
      <c r="D5" s="378"/>
      <c r="E5" s="378"/>
      <c r="F5" s="378"/>
      <c r="G5" s="378"/>
    </row>
    <row r="6" spans="1:10" s="1" customFormat="1" ht="24.75" customHeight="1" x14ac:dyDescent="0.25">
      <c r="A6" s="373" t="s">
        <v>364</v>
      </c>
      <c r="B6" s="373"/>
      <c r="C6" s="373"/>
      <c r="D6" s="373"/>
      <c r="E6" s="373"/>
      <c r="F6" s="373"/>
      <c r="G6" s="373"/>
      <c r="J6" s="324"/>
    </row>
    <row r="7" spans="1:10" s="2" customFormat="1" ht="24.75" customHeight="1" x14ac:dyDescent="0.25">
      <c r="A7" s="380" t="s">
        <v>18</v>
      </c>
      <c r="B7" s="381"/>
      <c r="C7" s="381"/>
      <c r="D7" s="381"/>
      <c r="E7" s="381"/>
      <c r="F7" s="381"/>
      <c r="G7" s="381"/>
      <c r="J7" s="329"/>
    </row>
    <row r="8" spans="1:10" ht="24.75" customHeight="1" x14ac:dyDescent="0.2">
      <c r="A8" s="374" t="s">
        <v>365</v>
      </c>
      <c r="B8" s="375"/>
      <c r="C8" s="375"/>
      <c r="D8" s="375"/>
      <c r="E8" s="375"/>
      <c r="F8" s="375"/>
      <c r="G8" s="375"/>
    </row>
    <row r="9" spans="1:10" s="139" customFormat="1" x14ac:dyDescent="0.2">
      <c r="A9" s="376" t="s">
        <v>238</v>
      </c>
      <c r="B9" s="377"/>
      <c r="C9" s="377"/>
      <c r="D9" s="377"/>
      <c r="E9" s="377"/>
      <c r="F9" s="377"/>
      <c r="J9" s="323"/>
    </row>
    <row r="10" spans="1:10" ht="13.5" thickBot="1" x14ac:dyDescent="0.25">
      <c r="A10" s="379" t="s">
        <v>0</v>
      </c>
      <c r="B10" s="379"/>
      <c r="C10" s="379"/>
      <c r="D10" s="379"/>
      <c r="E10" s="379"/>
      <c r="F10" s="379"/>
      <c r="G10" s="379"/>
    </row>
    <row r="11" spans="1:10" s="10" customFormat="1" ht="26.25" customHeight="1" thickTop="1" thickBot="1" x14ac:dyDescent="0.25">
      <c r="A11" s="74" t="s">
        <v>1</v>
      </c>
      <c r="B11" s="269" t="s">
        <v>329</v>
      </c>
      <c r="C11" s="472" t="s">
        <v>381</v>
      </c>
      <c r="D11" s="269" t="s">
        <v>367</v>
      </c>
      <c r="E11" s="269" t="s">
        <v>368</v>
      </c>
      <c r="F11" s="342" t="s">
        <v>2</v>
      </c>
      <c r="G11" s="343" t="s">
        <v>3</v>
      </c>
      <c r="J11" s="322"/>
    </row>
    <row r="12" spans="1:10" s="14" customFormat="1" ht="18.75" customHeight="1" thickTop="1" thickBot="1" x14ac:dyDescent="0.25">
      <c r="A12" s="216"/>
      <c r="B12" s="21" t="s">
        <v>5</v>
      </c>
      <c r="C12" s="333" t="s">
        <v>6</v>
      </c>
      <c r="D12" s="333" t="s">
        <v>7</v>
      </c>
      <c r="E12" s="21" t="s">
        <v>8</v>
      </c>
      <c r="F12" s="21" t="s">
        <v>9</v>
      </c>
      <c r="G12" s="22" t="s">
        <v>10</v>
      </c>
      <c r="J12" s="325"/>
    </row>
    <row r="13" spans="1:10" s="135" customFormat="1" ht="18.75" customHeight="1" thickBot="1" x14ac:dyDescent="0.25">
      <c r="A13" s="285" t="s">
        <v>270</v>
      </c>
      <c r="B13" s="288">
        <f>B14+B47</f>
        <v>1510367.75</v>
      </c>
      <c r="C13" s="334">
        <f>C14+C47</f>
        <v>1810760</v>
      </c>
      <c r="D13" s="334">
        <f t="shared" ref="D13:E13" si="0">D14+D47</f>
        <v>1810760</v>
      </c>
      <c r="E13" s="288">
        <f t="shared" si="0"/>
        <v>1740426.9099999997</v>
      </c>
      <c r="F13" s="286"/>
      <c r="G13" s="287"/>
      <c r="J13" s="325"/>
    </row>
    <row r="14" spans="1:10" s="230" customFormat="1" ht="18" customHeight="1" thickBot="1" x14ac:dyDescent="0.25">
      <c r="A14" s="226" t="s">
        <v>11</v>
      </c>
      <c r="B14" s="227">
        <f>B15+B28+B31+B34+B40+B44</f>
        <v>1509982.85</v>
      </c>
      <c r="C14" s="227">
        <f>C15+C28+C31+C34+C40+C44</f>
        <v>1810760</v>
      </c>
      <c r="D14" s="227">
        <f t="shared" ref="D14:E14" si="1">D15+D28+D31+D34+D40+D44</f>
        <v>1810760</v>
      </c>
      <c r="E14" s="227">
        <f t="shared" si="1"/>
        <v>1740426.9099999997</v>
      </c>
      <c r="F14" s="228">
        <f>E14/B14*100</f>
        <v>115.26136935926124</v>
      </c>
      <c r="G14" s="229">
        <f>E14/D14*100</f>
        <v>96.11582484702555</v>
      </c>
      <c r="J14" s="330"/>
    </row>
    <row r="15" spans="1:10" x14ac:dyDescent="0.2">
      <c r="A15" s="87" t="s">
        <v>19</v>
      </c>
      <c r="B15" s="88">
        <f>B16+B19+B21+B24+B26</f>
        <v>1205595.44</v>
      </c>
      <c r="C15" s="335">
        <f>C16+C19+C21+C24+C26</f>
        <v>1510859</v>
      </c>
      <c r="D15" s="335">
        <f t="shared" ref="D15:E15" si="2">D16+D19+D21+D24+D26</f>
        <v>1510859</v>
      </c>
      <c r="E15" s="88">
        <f t="shared" si="2"/>
        <v>1454933.2899999998</v>
      </c>
      <c r="F15" s="104">
        <f t="shared" ref="F15:F84" si="3">E15/B15*100</f>
        <v>120.68171807285535</v>
      </c>
      <c r="G15" s="105">
        <f t="shared" ref="G15:G84" si="4">E15/D15*100</f>
        <v>96.29841633137174</v>
      </c>
    </row>
    <row r="16" spans="1:10" x14ac:dyDescent="0.2">
      <c r="A16" s="86" t="s">
        <v>247</v>
      </c>
      <c r="B16" s="76">
        <f>SUM(B17:B18)</f>
        <v>0</v>
      </c>
      <c r="C16" s="270">
        <f>SUM(C17:C18)</f>
        <v>10600</v>
      </c>
      <c r="D16" s="270">
        <f>SUM(D17:D18)</f>
        <v>10600</v>
      </c>
      <c r="E16" s="76">
        <f>SUM(E17:E18)</f>
        <v>7628</v>
      </c>
      <c r="F16" s="106" t="e">
        <f t="shared" si="3"/>
        <v>#DIV/0!</v>
      </c>
      <c r="G16" s="107">
        <f t="shared" si="4"/>
        <v>71.962264150943398</v>
      </c>
    </row>
    <row r="17" spans="1:10" x14ac:dyDescent="0.2">
      <c r="A17" s="70" t="s">
        <v>248</v>
      </c>
      <c r="B17" s="69">
        <v>0</v>
      </c>
      <c r="C17" s="336">
        <v>8770</v>
      </c>
      <c r="D17" s="336">
        <v>8770</v>
      </c>
      <c r="E17" s="69">
        <v>3895.5</v>
      </c>
      <c r="F17" s="108" t="e">
        <f t="shared" si="3"/>
        <v>#DIV/0!</v>
      </c>
      <c r="G17" s="109">
        <f t="shared" si="4"/>
        <v>44.418472063854047</v>
      </c>
    </row>
    <row r="18" spans="1:10" s="139" customFormat="1" x14ac:dyDescent="0.2">
      <c r="A18" s="70" t="s">
        <v>369</v>
      </c>
      <c r="B18" s="69">
        <v>0</v>
      </c>
      <c r="C18" s="336">
        <v>1830</v>
      </c>
      <c r="D18" s="336">
        <v>1830</v>
      </c>
      <c r="E18" s="69">
        <v>3732.5</v>
      </c>
      <c r="F18" s="108" t="e">
        <f t="shared" ref="F18" si="5">E18/B18*100</f>
        <v>#DIV/0!</v>
      </c>
      <c r="G18" s="109">
        <f t="shared" ref="G18" si="6">E18/D18*100</f>
        <v>203.96174863387978</v>
      </c>
      <c r="J18" s="323"/>
    </row>
    <row r="19" spans="1:10" x14ac:dyDescent="0.2">
      <c r="A19" s="66" t="s">
        <v>20</v>
      </c>
      <c r="B19" s="67">
        <f>B20</f>
        <v>0</v>
      </c>
      <c r="C19" s="271">
        <f>C20</f>
        <v>9300</v>
      </c>
      <c r="D19" s="271">
        <f t="shared" ref="D19:E19" si="7">D20</f>
        <v>9300</v>
      </c>
      <c r="E19" s="67">
        <f t="shared" si="7"/>
        <v>0</v>
      </c>
      <c r="F19" s="110" t="e">
        <f t="shared" si="3"/>
        <v>#DIV/0!</v>
      </c>
      <c r="G19" s="111">
        <f t="shared" si="4"/>
        <v>0</v>
      </c>
    </row>
    <row r="20" spans="1:10" x14ac:dyDescent="0.2">
      <c r="A20" s="68" t="s">
        <v>21</v>
      </c>
      <c r="B20" s="69">
        <v>0</v>
      </c>
      <c r="C20" s="336">
        <v>9300</v>
      </c>
      <c r="D20" s="336">
        <v>9300</v>
      </c>
      <c r="E20" s="69"/>
      <c r="F20" s="108" t="e">
        <f t="shared" si="3"/>
        <v>#DIV/0!</v>
      </c>
      <c r="G20" s="109">
        <f t="shared" si="4"/>
        <v>0</v>
      </c>
    </row>
    <row r="21" spans="1:10" x14ac:dyDescent="0.2">
      <c r="A21" s="66" t="s">
        <v>22</v>
      </c>
      <c r="B21" s="67">
        <f>B22+B23</f>
        <v>1195838.81</v>
      </c>
      <c r="C21" s="271">
        <f>C22+C23</f>
        <v>1470830</v>
      </c>
      <c r="D21" s="271">
        <f t="shared" ref="D21:E21" si="8">D22+D23</f>
        <v>1470830</v>
      </c>
      <c r="E21" s="67">
        <f t="shared" si="8"/>
        <v>1427177.8399999999</v>
      </c>
      <c r="F21" s="110">
        <f t="shared" si="3"/>
        <v>119.34533551390591</v>
      </c>
      <c r="G21" s="111">
        <f t="shared" si="4"/>
        <v>97.03214103601367</v>
      </c>
    </row>
    <row r="22" spans="1:10" x14ac:dyDescent="0.2">
      <c r="A22" s="68" t="s">
        <v>23</v>
      </c>
      <c r="B22" s="69">
        <v>1174123.8400000001</v>
      </c>
      <c r="C22" s="336">
        <v>1464190</v>
      </c>
      <c r="D22" s="336">
        <v>1464190</v>
      </c>
      <c r="E22" s="69">
        <v>1426381.18</v>
      </c>
      <c r="F22" s="108">
        <f t="shared" si="3"/>
        <v>121.48473026490969</v>
      </c>
      <c r="G22" s="109">
        <f t="shared" si="4"/>
        <v>97.417765453936994</v>
      </c>
    </row>
    <row r="23" spans="1:10" x14ac:dyDescent="0.2">
      <c r="A23" s="68" t="s">
        <v>24</v>
      </c>
      <c r="B23" s="69">
        <v>21714.97</v>
      </c>
      <c r="C23" s="336">
        <v>6640</v>
      </c>
      <c r="D23" s="336">
        <v>6640</v>
      </c>
      <c r="E23" s="69">
        <v>796.66</v>
      </c>
      <c r="F23" s="108">
        <f t="shared" si="3"/>
        <v>3.6687133346258358</v>
      </c>
      <c r="G23" s="109">
        <f t="shared" si="4"/>
        <v>11.997891566265059</v>
      </c>
    </row>
    <row r="24" spans="1:10" x14ac:dyDescent="0.2">
      <c r="A24" s="66" t="s">
        <v>25</v>
      </c>
      <c r="B24" s="67">
        <f>B25</f>
        <v>0</v>
      </c>
      <c r="C24" s="271">
        <f>C25</f>
        <v>0</v>
      </c>
      <c r="D24" s="271">
        <f t="shared" ref="D24:E24" si="9">D25</f>
        <v>0</v>
      </c>
      <c r="E24" s="67">
        <f t="shared" si="9"/>
        <v>0</v>
      </c>
      <c r="F24" s="110"/>
      <c r="G24" s="111"/>
    </row>
    <row r="25" spans="1:10" x14ac:dyDescent="0.2">
      <c r="A25" s="68" t="s">
        <v>26</v>
      </c>
      <c r="B25" s="69"/>
      <c r="C25" s="336">
        <v>0</v>
      </c>
      <c r="D25" s="336"/>
      <c r="E25" s="69"/>
      <c r="F25" s="108"/>
      <c r="G25" s="109"/>
    </row>
    <row r="26" spans="1:10" x14ac:dyDescent="0.2">
      <c r="A26" s="66" t="s">
        <v>27</v>
      </c>
      <c r="B26" s="67">
        <f>B27</f>
        <v>9756.6299999999992</v>
      </c>
      <c r="C26" s="271">
        <f>C27</f>
        <v>20129</v>
      </c>
      <c r="D26" s="271">
        <f t="shared" ref="D26:E26" si="10">D27</f>
        <v>20129</v>
      </c>
      <c r="E26" s="67">
        <f t="shared" si="10"/>
        <v>20127.45</v>
      </c>
      <c r="F26" s="110">
        <f t="shared" si="3"/>
        <v>206.29510394470225</v>
      </c>
      <c r="G26" s="111">
        <f t="shared" si="4"/>
        <v>99.992299667146909</v>
      </c>
    </row>
    <row r="27" spans="1:10" ht="25.9" customHeight="1" x14ac:dyDescent="0.2">
      <c r="A27" s="89" t="s">
        <v>28</v>
      </c>
      <c r="B27" s="79">
        <v>9756.6299999999992</v>
      </c>
      <c r="C27" s="85">
        <v>20129</v>
      </c>
      <c r="D27" s="85">
        <v>20129</v>
      </c>
      <c r="E27" s="79">
        <v>20127.45</v>
      </c>
      <c r="F27" s="112">
        <f t="shared" si="3"/>
        <v>206.29510394470225</v>
      </c>
      <c r="G27" s="113">
        <f t="shared" si="4"/>
        <v>99.992299667146909</v>
      </c>
    </row>
    <row r="28" spans="1:10" x14ac:dyDescent="0.2">
      <c r="A28" s="80" t="s">
        <v>29</v>
      </c>
      <c r="B28" s="81">
        <f>B29</f>
        <v>0</v>
      </c>
      <c r="C28" s="337">
        <f>C29</f>
        <v>30</v>
      </c>
      <c r="D28" s="337">
        <f t="shared" ref="D28:E29" si="11">D29</f>
        <v>30</v>
      </c>
      <c r="E28" s="81">
        <f t="shared" si="11"/>
        <v>0</v>
      </c>
      <c r="F28" s="114"/>
      <c r="G28" s="115">
        <f t="shared" si="4"/>
        <v>0</v>
      </c>
    </row>
    <row r="29" spans="1:10" x14ac:dyDescent="0.2">
      <c r="A29" s="75" t="s">
        <v>30</v>
      </c>
      <c r="B29" s="76">
        <f>B30</f>
        <v>0</v>
      </c>
      <c r="C29" s="270">
        <f>C30</f>
        <v>30</v>
      </c>
      <c r="D29" s="270">
        <f t="shared" si="11"/>
        <v>30</v>
      </c>
      <c r="E29" s="76">
        <f t="shared" si="11"/>
        <v>0</v>
      </c>
      <c r="F29" s="106"/>
      <c r="G29" s="107">
        <f t="shared" si="4"/>
        <v>0</v>
      </c>
    </row>
    <row r="30" spans="1:10" x14ac:dyDescent="0.2">
      <c r="A30" s="90" t="s">
        <v>249</v>
      </c>
      <c r="B30" s="79"/>
      <c r="C30" s="85">
        <v>30</v>
      </c>
      <c r="D30" s="85">
        <v>30</v>
      </c>
      <c r="E30" s="79"/>
      <c r="F30" s="112"/>
      <c r="G30" s="113">
        <f t="shared" si="4"/>
        <v>0</v>
      </c>
    </row>
    <row r="31" spans="1:10" ht="25.9" customHeight="1" x14ac:dyDescent="0.2">
      <c r="A31" s="91" t="s">
        <v>31</v>
      </c>
      <c r="B31" s="81">
        <f>B32</f>
        <v>53020.61</v>
      </c>
      <c r="C31" s="337">
        <f>C32</f>
        <v>37450</v>
      </c>
      <c r="D31" s="337">
        <f t="shared" ref="D31:E32" si="12">D32</f>
        <v>37450</v>
      </c>
      <c r="E31" s="81">
        <f t="shared" si="12"/>
        <v>41779.9</v>
      </c>
      <c r="F31" s="114">
        <f t="shared" si="3"/>
        <v>78.799357457411375</v>
      </c>
      <c r="G31" s="115">
        <f t="shared" si="4"/>
        <v>111.56181575433912</v>
      </c>
    </row>
    <row r="32" spans="1:10" x14ac:dyDescent="0.2">
      <c r="A32" s="75" t="s">
        <v>32</v>
      </c>
      <c r="B32" s="76">
        <f>B33</f>
        <v>53020.61</v>
      </c>
      <c r="C32" s="270">
        <f>C33</f>
        <v>37450</v>
      </c>
      <c r="D32" s="270">
        <f t="shared" si="12"/>
        <v>37450</v>
      </c>
      <c r="E32" s="76">
        <f t="shared" si="12"/>
        <v>41779.9</v>
      </c>
      <c r="F32" s="106">
        <f t="shared" si="3"/>
        <v>78.799357457411375</v>
      </c>
      <c r="G32" s="107">
        <f t="shared" si="4"/>
        <v>111.56181575433912</v>
      </c>
    </row>
    <row r="33" spans="1:10" x14ac:dyDescent="0.2">
      <c r="A33" s="78" t="s">
        <v>33</v>
      </c>
      <c r="B33" s="79">
        <v>53020.61</v>
      </c>
      <c r="C33" s="85">
        <v>37450</v>
      </c>
      <c r="D33" s="85">
        <v>37450</v>
      </c>
      <c r="E33" s="79">
        <v>41779.9</v>
      </c>
      <c r="F33" s="112">
        <f t="shared" si="3"/>
        <v>78.799357457411375</v>
      </c>
      <c r="G33" s="113">
        <f t="shared" si="4"/>
        <v>111.56181575433912</v>
      </c>
    </row>
    <row r="34" spans="1:10" x14ac:dyDescent="0.2">
      <c r="A34" s="92" t="s">
        <v>250</v>
      </c>
      <c r="B34" s="81">
        <f>B35+B37</f>
        <v>8439.85</v>
      </c>
      <c r="C34" s="337">
        <f>C35+C37</f>
        <v>18420</v>
      </c>
      <c r="D34" s="337">
        <f t="shared" ref="D34:E34" si="13">D35+D37</f>
        <v>18420</v>
      </c>
      <c r="E34" s="81">
        <f t="shared" si="13"/>
        <v>15720.28</v>
      </c>
      <c r="F34" s="114">
        <f t="shared" si="3"/>
        <v>186.26255205957452</v>
      </c>
      <c r="G34" s="115">
        <f t="shared" si="4"/>
        <v>85.343539630836048</v>
      </c>
    </row>
    <row r="35" spans="1:10" x14ac:dyDescent="0.2">
      <c r="A35" s="86" t="s">
        <v>251</v>
      </c>
      <c r="B35" s="76">
        <f>B36</f>
        <v>7988.59</v>
      </c>
      <c r="C35" s="270">
        <f>C36</f>
        <v>16560</v>
      </c>
      <c r="D35" s="270">
        <f>D36</f>
        <v>16560</v>
      </c>
      <c r="E35" s="76">
        <f>E36</f>
        <v>14330.84</v>
      </c>
      <c r="F35" s="106">
        <f t="shared" si="3"/>
        <v>179.39135692281116</v>
      </c>
      <c r="G35" s="107">
        <f t="shared" si="4"/>
        <v>86.538888888888891</v>
      </c>
    </row>
    <row r="36" spans="1:10" x14ac:dyDescent="0.2">
      <c r="A36" s="68" t="s">
        <v>34</v>
      </c>
      <c r="B36" s="69">
        <v>7988.59</v>
      </c>
      <c r="C36" s="336">
        <v>16560</v>
      </c>
      <c r="D36" s="336">
        <v>16560</v>
      </c>
      <c r="E36" s="69">
        <v>14330.84</v>
      </c>
      <c r="F36" s="108">
        <f t="shared" si="3"/>
        <v>179.39135692281116</v>
      </c>
      <c r="G36" s="109">
        <f t="shared" si="4"/>
        <v>86.538888888888891</v>
      </c>
    </row>
    <row r="37" spans="1:10" x14ac:dyDescent="0.2">
      <c r="A37" s="66" t="s">
        <v>35</v>
      </c>
      <c r="B37" s="67">
        <f>B38+B39</f>
        <v>451.26</v>
      </c>
      <c r="C37" s="271">
        <f>C38+C39</f>
        <v>1860</v>
      </c>
      <c r="D37" s="271">
        <f t="shared" ref="D37:E37" si="14">D38+D39</f>
        <v>1860</v>
      </c>
      <c r="E37" s="67">
        <f t="shared" si="14"/>
        <v>1389.44</v>
      </c>
      <c r="F37" s="110">
        <f t="shared" si="3"/>
        <v>307.90231795417282</v>
      </c>
      <c r="G37" s="111">
        <f t="shared" si="4"/>
        <v>74.701075268817206</v>
      </c>
    </row>
    <row r="38" spans="1:10" x14ac:dyDescent="0.2">
      <c r="A38" s="68" t="s">
        <v>36</v>
      </c>
      <c r="B38" s="69">
        <v>451.26</v>
      </c>
      <c r="C38" s="336">
        <v>1860</v>
      </c>
      <c r="D38" s="336">
        <v>1860</v>
      </c>
      <c r="E38" s="69">
        <v>1389.44</v>
      </c>
      <c r="F38" s="108">
        <f t="shared" si="3"/>
        <v>307.90231795417282</v>
      </c>
      <c r="G38" s="109">
        <f t="shared" si="4"/>
        <v>74.701075268817206</v>
      </c>
    </row>
    <row r="39" spans="1:10" x14ac:dyDescent="0.2">
      <c r="A39" s="78" t="s">
        <v>37</v>
      </c>
      <c r="B39" s="79"/>
      <c r="C39" s="85">
        <v>0</v>
      </c>
      <c r="D39" s="85"/>
      <c r="E39" s="79"/>
      <c r="F39" s="112" t="e">
        <f t="shared" si="3"/>
        <v>#DIV/0!</v>
      </c>
      <c r="G39" s="113"/>
    </row>
    <row r="40" spans="1:10" s="9" customFormat="1" x14ac:dyDescent="0.2">
      <c r="A40" s="100" t="s">
        <v>260</v>
      </c>
      <c r="B40" s="101">
        <f>B41</f>
        <v>242855.55</v>
      </c>
      <c r="C40" s="337">
        <f>C41</f>
        <v>243501</v>
      </c>
      <c r="D40" s="337">
        <f t="shared" ref="D40:E40" si="15">D41</f>
        <v>243501</v>
      </c>
      <c r="E40" s="101">
        <f t="shared" si="15"/>
        <v>227519.5</v>
      </c>
      <c r="F40" s="116">
        <f t="shared" si="3"/>
        <v>93.685114464133108</v>
      </c>
      <c r="G40" s="117">
        <f t="shared" si="4"/>
        <v>93.436782600482132</v>
      </c>
      <c r="J40" s="323"/>
    </row>
    <row r="41" spans="1:10" s="9" customFormat="1" x14ac:dyDescent="0.2">
      <c r="A41" s="98" t="s">
        <v>261</v>
      </c>
      <c r="B41" s="99">
        <f>B42+B43</f>
        <v>242855.55</v>
      </c>
      <c r="C41" s="270">
        <f>C42+C43</f>
        <v>243501</v>
      </c>
      <c r="D41" s="270">
        <f t="shared" ref="D41:E41" si="16">D42+D43</f>
        <v>243501</v>
      </c>
      <c r="E41" s="99">
        <f t="shared" si="16"/>
        <v>227519.5</v>
      </c>
      <c r="F41" s="118">
        <f t="shared" si="3"/>
        <v>93.685114464133108</v>
      </c>
      <c r="G41" s="119">
        <f t="shared" si="4"/>
        <v>93.436782600482132</v>
      </c>
      <c r="J41" s="323"/>
    </row>
    <row r="42" spans="1:10" s="9" customFormat="1" x14ac:dyDescent="0.2">
      <c r="A42" s="71" t="s">
        <v>262</v>
      </c>
      <c r="B42" s="69">
        <v>229718.81</v>
      </c>
      <c r="C42" s="336">
        <f>227960+5371</f>
        <v>233331</v>
      </c>
      <c r="D42" s="336">
        <f>227965+5371</f>
        <v>233336</v>
      </c>
      <c r="E42" s="69">
        <v>218180.71</v>
      </c>
      <c r="F42" s="108">
        <f t="shared" si="3"/>
        <v>94.977294197196997</v>
      </c>
      <c r="G42" s="109">
        <f t="shared" si="4"/>
        <v>93.50494994342921</v>
      </c>
      <c r="J42" s="323"/>
    </row>
    <row r="43" spans="1:10" s="9" customFormat="1" x14ac:dyDescent="0.2">
      <c r="A43" s="96" t="s">
        <v>263</v>
      </c>
      <c r="B43" s="97">
        <v>13136.74</v>
      </c>
      <c r="C43" s="338">
        <v>10170</v>
      </c>
      <c r="D43" s="338">
        <v>10165</v>
      </c>
      <c r="E43" s="97">
        <v>9338.7900000000009</v>
      </c>
      <c r="F43" s="120">
        <f t="shared" si="3"/>
        <v>71.089098208535759</v>
      </c>
      <c r="G43" s="121">
        <f t="shared" si="4"/>
        <v>91.872011805213987</v>
      </c>
      <c r="J43" s="323"/>
    </row>
    <row r="44" spans="1:10" x14ac:dyDescent="0.2">
      <c r="A44" s="80" t="s">
        <v>38</v>
      </c>
      <c r="B44" s="81">
        <f>B45</f>
        <v>71.400000000000006</v>
      </c>
      <c r="C44" s="337">
        <f>C45</f>
        <v>500</v>
      </c>
      <c r="D44" s="337">
        <f t="shared" ref="D44:E45" si="17">D45</f>
        <v>500</v>
      </c>
      <c r="E44" s="81">
        <f t="shared" si="17"/>
        <v>473.94</v>
      </c>
      <c r="F44" s="114"/>
      <c r="G44" s="115">
        <f t="shared" si="4"/>
        <v>94.787999999999997</v>
      </c>
    </row>
    <row r="45" spans="1:10" x14ac:dyDescent="0.2">
      <c r="A45" s="212" t="s">
        <v>39</v>
      </c>
      <c r="B45" s="213">
        <f>B46</f>
        <v>71.400000000000006</v>
      </c>
      <c r="C45" s="339">
        <f>C46</f>
        <v>500</v>
      </c>
      <c r="D45" s="339">
        <f t="shared" si="17"/>
        <v>500</v>
      </c>
      <c r="E45" s="213">
        <f t="shared" si="17"/>
        <v>473.94</v>
      </c>
      <c r="F45" s="214"/>
      <c r="G45" s="215">
        <f t="shared" si="4"/>
        <v>94.787999999999997</v>
      </c>
    </row>
    <row r="46" spans="1:10" ht="13.5" thickBot="1" x14ac:dyDescent="0.25">
      <c r="A46" s="284" t="s">
        <v>40</v>
      </c>
      <c r="B46" s="276">
        <v>71.400000000000006</v>
      </c>
      <c r="C46" s="277">
        <v>500</v>
      </c>
      <c r="D46" s="277">
        <v>500</v>
      </c>
      <c r="E46" s="276">
        <v>473.94</v>
      </c>
      <c r="F46" s="278"/>
      <c r="G46" s="279">
        <f t="shared" si="4"/>
        <v>94.787999999999997</v>
      </c>
    </row>
    <row r="47" spans="1:10" s="230" customFormat="1" ht="18" customHeight="1" thickBot="1" x14ac:dyDescent="0.25">
      <c r="A47" s="280" t="s">
        <v>330</v>
      </c>
      <c r="B47" s="281">
        <f>B48</f>
        <v>384.9</v>
      </c>
      <c r="C47" s="281">
        <f t="shared" ref="C47:F49" si="18">C48</f>
        <v>0</v>
      </c>
      <c r="D47" s="281">
        <f t="shared" si="18"/>
        <v>0</v>
      </c>
      <c r="E47" s="281">
        <f t="shared" si="18"/>
        <v>0</v>
      </c>
      <c r="F47" s="282">
        <f t="shared" si="18"/>
        <v>0</v>
      </c>
      <c r="G47" s="283" t="e">
        <f>E47/D47*100</f>
        <v>#DIV/0!</v>
      </c>
      <c r="J47" s="330"/>
    </row>
    <row r="48" spans="1:10" s="139" customFormat="1" x14ac:dyDescent="0.2">
      <c r="A48" s="273" t="s">
        <v>331</v>
      </c>
      <c r="B48" s="88">
        <f>B49</f>
        <v>384.9</v>
      </c>
      <c r="C48" s="335">
        <f t="shared" si="18"/>
        <v>0</v>
      </c>
      <c r="D48" s="335">
        <f t="shared" si="18"/>
        <v>0</v>
      </c>
      <c r="E48" s="88">
        <f t="shared" si="18"/>
        <v>0</v>
      </c>
      <c r="F48" s="104">
        <f t="shared" si="18"/>
        <v>0</v>
      </c>
      <c r="G48" s="105" t="e">
        <f t="shared" ref="G48:G50" si="19">E48/D48*100</f>
        <v>#DIV/0!</v>
      </c>
      <c r="J48" s="323"/>
    </row>
    <row r="49" spans="1:10" s="139" customFormat="1" x14ac:dyDescent="0.2">
      <c r="A49" s="274" t="s">
        <v>332</v>
      </c>
      <c r="B49" s="76">
        <f>B50</f>
        <v>384.9</v>
      </c>
      <c r="C49" s="270">
        <f t="shared" si="18"/>
        <v>0</v>
      </c>
      <c r="D49" s="270">
        <f t="shared" si="18"/>
        <v>0</v>
      </c>
      <c r="E49" s="76">
        <f t="shared" si="18"/>
        <v>0</v>
      </c>
      <c r="F49" s="106">
        <f t="shared" si="18"/>
        <v>0</v>
      </c>
      <c r="G49" s="107" t="e">
        <f t="shared" si="19"/>
        <v>#DIV/0!</v>
      </c>
      <c r="J49" s="323"/>
    </row>
    <row r="50" spans="1:10" s="139" customFormat="1" ht="13.5" thickBot="1" x14ac:dyDescent="0.25">
      <c r="A50" s="275" t="s">
        <v>333</v>
      </c>
      <c r="B50" s="276">
        <v>384.9</v>
      </c>
      <c r="C50" s="277">
        <v>0</v>
      </c>
      <c r="D50" s="277"/>
      <c r="E50" s="276"/>
      <c r="F50" s="278"/>
      <c r="G50" s="279" t="e">
        <f t="shared" si="19"/>
        <v>#DIV/0!</v>
      </c>
      <c r="J50" s="323"/>
    </row>
    <row r="51" spans="1:10" s="225" customFormat="1" ht="21.75" customHeight="1" thickBot="1" x14ac:dyDescent="0.25">
      <c r="A51" s="221" t="s">
        <v>271</v>
      </c>
      <c r="B51" s="222">
        <f>B52+B110</f>
        <v>1524070.81</v>
      </c>
      <c r="C51" s="222">
        <f>C52+C110</f>
        <v>1816736</v>
      </c>
      <c r="D51" s="222">
        <f>D52+D110</f>
        <v>1816736</v>
      </c>
      <c r="E51" s="222">
        <f>E52+E110</f>
        <v>1722386.5599999998</v>
      </c>
      <c r="F51" s="223"/>
      <c r="G51" s="224"/>
      <c r="J51" s="331"/>
    </row>
    <row r="52" spans="1:10" ht="18" customHeight="1" x14ac:dyDescent="0.2">
      <c r="A52" s="93" t="s">
        <v>13</v>
      </c>
      <c r="B52" s="94">
        <f>B53+B64+B96+B102+B105</f>
        <v>1511111.74</v>
      </c>
      <c r="C52" s="340">
        <f>C53+C64+C96+C102+C105</f>
        <v>1785790</v>
      </c>
      <c r="D52" s="340">
        <f>D53+D64+D96+D102+D105</f>
        <v>1785795</v>
      </c>
      <c r="E52" s="94">
        <f>E53+E64+E96+E102+E105</f>
        <v>1705840.89</v>
      </c>
      <c r="F52" s="122">
        <f t="shared" si="3"/>
        <v>112.88648250459626</v>
      </c>
      <c r="G52" s="123">
        <f t="shared" si="4"/>
        <v>95.522772210696075</v>
      </c>
    </row>
    <row r="53" spans="1:10" x14ac:dyDescent="0.2">
      <c r="A53" s="80" t="s">
        <v>41</v>
      </c>
      <c r="B53" s="81">
        <f>B54+B58+B60</f>
        <v>1215663.6499999999</v>
      </c>
      <c r="C53" s="337">
        <f>C54+C58+C60</f>
        <v>1377155</v>
      </c>
      <c r="D53" s="337">
        <f t="shared" ref="D53:E53" si="20">D54+D58+D60</f>
        <v>1377155</v>
      </c>
      <c r="E53" s="81">
        <f t="shared" si="20"/>
        <v>1355056.66</v>
      </c>
      <c r="F53" s="114">
        <f t="shared" si="3"/>
        <v>111.46641260516428</v>
      </c>
      <c r="G53" s="115">
        <f t="shared" si="4"/>
        <v>98.395362903957789</v>
      </c>
    </row>
    <row r="54" spans="1:10" x14ac:dyDescent="0.2">
      <c r="A54" s="75" t="s">
        <v>42</v>
      </c>
      <c r="B54" s="76">
        <f>SUM(B55:B57)</f>
        <v>1004178.6599999999</v>
      </c>
      <c r="C54" s="270">
        <f>SUM(C55:C57)</f>
        <v>1139550</v>
      </c>
      <c r="D54" s="270">
        <f t="shared" ref="D54:E54" si="21">SUM(D55:D57)</f>
        <v>1139550</v>
      </c>
      <c r="E54" s="76">
        <f t="shared" si="21"/>
        <v>1138835.98</v>
      </c>
      <c r="F54" s="106">
        <f t="shared" si="3"/>
        <v>113.40969743372162</v>
      </c>
      <c r="G54" s="107">
        <f t="shared" si="4"/>
        <v>99.937341933219244</v>
      </c>
    </row>
    <row r="55" spans="1:10" x14ac:dyDescent="0.2">
      <c r="A55" s="68" t="s">
        <v>43</v>
      </c>
      <c r="B55" s="69">
        <v>958295.44</v>
      </c>
      <c r="C55" s="336">
        <f>54480+7300+1024600</f>
        <v>1086380</v>
      </c>
      <c r="D55" s="336">
        <f>54480+7300+1024600</f>
        <v>1086380</v>
      </c>
      <c r="E55" s="69">
        <f>53430.66+1031943.63</f>
        <v>1085374.29</v>
      </c>
      <c r="F55" s="108">
        <f t="shared" si="3"/>
        <v>113.2609260876792</v>
      </c>
      <c r="G55" s="109">
        <f t="shared" si="4"/>
        <v>99.907425578526855</v>
      </c>
    </row>
    <row r="56" spans="1:10" x14ac:dyDescent="0.2">
      <c r="A56" s="68" t="s">
        <v>44</v>
      </c>
      <c r="B56" s="69">
        <v>14601.74</v>
      </c>
      <c r="C56" s="336">
        <v>19770</v>
      </c>
      <c r="D56" s="336">
        <v>19770</v>
      </c>
      <c r="E56" s="69">
        <f>17600.28</f>
        <v>17600.28</v>
      </c>
      <c r="F56" s="108">
        <f t="shared" si="3"/>
        <v>120.5354978242319</v>
      </c>
      <c r="G56" s="109">
        <f t="shared" si="4"/>
        <v>89.025189681335348</v>
      </c>
    </row>
    <row r="57" spans="1:10" x14ac:dyDescent="0.2">
      <c r="A57" s="68" t="s">
        <v>45</v>
      </c>
      <c r="B57" s="69">
        <v>31281.48</v>
      </c>
      <c r="C57" s="336">
        <v>33400</v>
      </c>
      <c r="D57" s="336">
        <v>33400</v>
      </c>
      <c r="E57" s="69">
        <v>35861.410000000003</v>
      </c>
      <c r="F57" s="108">
        <f t="shared" si="3"/>
        <v>114.6410272148249</v>
      </c>
      <c r="G57" s="109">
        <f t="shared" si="4"/>
        <v>107.36949101796409</v>
      </c>
    </row>
    <row r="58" spans="1:10" x14ac:dyDescent="0.2">
      <c r="A58" s="66" t="s">
        <v>46</v>
      </c>
      <c r="B58" s="67">
        <f>B59</f>
        <v>49215.77</v>
      </c>
      <c r="C58" s="271">
        <f>C59</f>
        <v>58215</v>
      </c>
      <c r="D58" s="271">
        <f t="shared" ref="D58:E58" si="22">D59</f>
        <v>58215</v>
      </c>
      <c r="E58" s="67">
        <f t="shared" si="22"/>
        <v>38687.15</v>
      </c>
      <c r="F58" s="110">
        <f t="shared" si="3"/>
        <v>78.607222847473494</v>
      </c>
      <c r="G58" s="111">
        <f t="shared" si="4"/>
        <v>66.455638581121718</v>
      </c>
    </row>
    <row r="59" spans="1:10" x14ac:dyDescent="0.2">
      <c r="A59" s="68" t="s">
        <v>47</v>
      </c>
      <c r="B59" s="69">
        <v>49215.77</v>
      </c>
      <c r="C59" s="336">
        <f>1925+1000+55290</f>
        <v>58215</v>
      </c>
      <c r="D59" s="336">
        <f>1925+1000+55290</f>
        <v>58215</v>
      </c>
      <c r="E59" s="69">
        <f>1921.14+390+36376.01</f>
        <v>38687.15</v>
      </c>
      <c r="F59" s="108">
        <f t="shared" si="3"/>
        <v>78.607222847473494</v>
      </c>
      <c r="G59" s="109">
        <f t="shared" si="4"/>
        <v>66.455638581121718</v>
      </c>
    </row>
    <row r="60" spans="1:10" x14ac:dyDescent="0.2">
      <c r="A60" s="66" t="s">
        <v>48</v>
      </c>
      <c r="B60" s="67">
        <f>SUM(B61:B63)</f>
        <v>162269.22</v>
      </c>
      <c r="C60" s="271">
        <f>SUM(C61:C63)</f>
        <v>179390</v>
      </c>
      <c r="D60" s="271">
        <f t="shared" ref="D60:E60" si="23">SUM(D61:D63)</f>
        <v>179390</v>
      </c>
      <c r="E60" s="67">
        <f t="shared" si="23"/>
        <v>177533.53</v>
      </c>
      <c r="F60" s="110"/>
      <c r="G60" s="111">
        <f t="shared" si="4"/>
        <v>98.96512068677184</v>
      </c>
    </row>
    <row r="61" spans="1:10" x14ac:dyDescent="0.2">
      <c r="A61" s="68" t="s">
        <v>49</v>
      </c>
      <c r="B61" s="69"/>
      <c r="C61" s="336"/>
      <c r="D61" s="336"/>
      <c r="E61" s="69"/>
      <c r="F61" s="108"/>
      <c r="G61" s="109"/>
    </row>
    <row r="62" spans="1:10" x14ac:dyDescent="0.2">
      <c r="A62" s="68" t="s">
        <v>50</v>
      </c>
      <c r="B62" s="69">
        <v>162135.51</v>
      </c>
      <c r="C62" s="336">
        <f>9130+1200+169060</f>
        <v>179390</v>
      </c>
      <c r="D62" s="336">
        <f>9130+1200+169060</f>
        <v>179390</v>
      </c>
      <c r="E62" s="69">
        <f>8816.04+168717.49</f>
        <v>177533.53</v>
      </c>
      <c r="F62" s="108">
        <f t="shared" si="3"/>
        <v>109.4970065471777</v>
      </c>
      <c r="G62" s="109">
        <f t="shared" si="4"/>
        <v>98.96512068677184</v>
      </c>
    </row>
    <row r="63" spans="1:10" x14ac:dyDescent="0.2">
      <c r="A63" s="90" t="s">
        <v>252</v>
      </c>
      <c r="B63" s="79">
        <v>133.71</v>
      </c>
      <c r="C63" s="85"/>
      <c r="D63" s="85"/>
      <c r="E63" s="79"/>
      <c r="F63" s="112">
        <f t="shared" si="3"/>
        <v>0</v>
      </c>
      <c r="G63" s="113" t="e">
        <f t="shared" si="4"/>
        <v>#DIV/0!</v>
      </c>
    </row>
    <row r="64" spans="1:10" x14ac:dyDescent="0.2">
      <c r="A64" s="80" t="s">
        <v>51</v>
      </c>
      <c r="B64" s="81">
        <f>B65+B70+B77+B87+B89</f>
        <v>239729.17</v>
      </c>
      <c r="C64" s="337">
        <f>C65+C70+C77+C87+C89</f>
        <v>350604</v>
      </c>
      <c r="D64" s="337">
        <f t="shared" ref="D64:E64" si="24">D65+D70+D77+D87+D89</f>
        <v>350709</v>
      </c>
      <c r="E64" s="81">
        <f t="shared" si="24"/>
        <v>295249.02999999997</v>
      </c>
      <c r="F64" s="114">
        <f t="shared" si="3"/>
        <v>123.15940942856471</v>
      </c>
      <c r="G64" s="115">
        <f t="shared" si="4"/>
        <v>84.18632826645451</v>
      </c>
    </row>
    <row r="65" spans="1:7" x14ac:dyDescent="0.2">
      <c r="A65" s="75" t="s">
        <v>52</v>
      </c>
      <c r="B65" s="76">
        <f>SUM(B66:B69)</f>
        <v>32314.600000000002</v>
      </c>
      <c r="C65" s="270">
        <f>SUM(C66:C69)</f>
        <v>38198</v>
      </c>
      <c r="D65" s="270">
        <f t="shared" ref="D65:E65" si="25">SUM(D66:D69)</f>
        <v>38241</v>
      </c>
      <c r="E65" s="76">
        <f t="shared" si="25"/>
        <v>30566.6</v>
      </c>
      <c r="F65" s="106">
        <f t="shared" si="3"/>
        <v>94.590680373577257</v>
      </c>
      <c r="G65" s="107">
        <f t="shared" si="4"/>
        <v>79.931487147302633</v>
      </c>
    </row>
    <row r="66" spans="1:7" x14ac:dyDescent="0.2">
      <c r="A66" s="68" t="s">
        <v>53</v>
      </c>
      <c r="B66" s="69">
        <v>18220.759999999998</v>
      </c>
      <c r="C66" s="336">
        <f>6280+9075+2216+1130</f>
        <v>18701</v>
      </c>
      <c r="D66" s="336">
        <f>6280+9075+2216+1130</f>
        <v>18701</v>
      </c>
      <c r="E66" s="69">
        <f>6270.29+2901.32+2215.52+1114.68</f>
        <v>12501.810000000001</v>
      </c>
      <c r="F66" s="108">
        <f t="shared" si="3"/>
        <v>68.612999677291185</v>
      </c>
      <c r="G66" s="109">
        <f t="shared" si="4"/>
        <v>66.851024009411262</v>
      </c>
    </row>
    <row r="67" spans="1:7" x14ac:dyDescent="0.2">
      <c r="A67" s="68" t="s">
        <v>54</v>
      </c>
      <c r="B67" s="69">
        <v>13031.92</v>
      </c>
      <c r="C67" s="336">
        <f>1900+800+14950</f>
        <v>17650</v>
      </c>
      <c r="D67" s="336">
        <f>1900+800+14950</f>
        <v>17650</v>
      </c>
      <c r="E67" s="69">
        <f>1566.93+14598.01</f>
        <v>16164.94</v>
      </c>
      <c r="F67" s="108">
        <f t="shared" si="3"/>
        <v>124.0411236410291</v>
      </c>
      <c r="G67" s="109">
        <f t="shared" si="4"/>
        <v>91.586062322946177</v>
      </c>
    </row>
    <row r="68" spans="1:7" x14ac:dyDescent="0.2">
      <c r="A68" s="68" t="s">
        <v>55</v>
      </c>
      <c r="B68" s="69">
        <v>866.68</v>
      </c>
      <c r="C68" s="336">
        <f>1297+200</f>
        <v>1497</v>
      </c>
      <c r="D68" s="336">
        <f>1297+200</f>
        <v>1497</v>
      </c>
      <c r="E68" s="69">
        <f>1296.25+200</f>
        <v>1496.25</v>
      </c>
      <c r="F68" s="108">
        <f t="shared" si="3"/>
        <v>172.64157474500394</v>
      </c>
      <c r="G68" s="109">
        <f t="shared" si="4"/>
        <v>99.949899799599194</v>
      </c>
    </row>
    <row r="69" spans="1:7" x14ac:dyDescent="0.2">
      <c r="A69" s="68" t="s">
        <v>56</v>
      </c>
      <c r="B69" s="69">
        <v>195.24</v>
      </c>
      <c r="C69" s="336">
        <v>350</v>
      </c>
      <c r="D69" s="336">
        <v>393</v>
      </c>
      <c r="E69" s="69">
        <v>403.6</v>
      </c>
      <c r="F69" s="108">
        <f t="shared" si="3"/>
        <v>206.719934439664</v>
      </c>
      <c r="G69" s="109">
        <f t="shared" si="4"/>
        <v>102.69720101781171</v>
      </c>
    </row>
    <row r="70" spans="1:7" x14ac:dyDescent="0.2">
      <c r="A70" s="66" t="s">
        <v>57</v>
      </c>
      <c r="B70" s="67">
        <f>SUM(B71:B76)</f>
        <v>140210.72</v>
      </c>
      <c r="C70" s="271">
        <f>SUM(C71:C76)</f>
        <v>223304</v>
      </c>
      <c r="D70" s="271">
        <f t="shared" ref="D70:E70" si="26">SUM(D71:D76)</f>
        <v>223569</v>
      </c>
      <c r="E70" s="67">
        <f t="shared" si="26"/>
        <v>195443.81999999998</v>
      </c>
      <c r="F70" s="110">
        <f t="shared" si="3"/>
        <v>139.39292231007727</v>
      </c>
      <c r="G70" s="111">
        <f t="shared" si="4"/>
        <v>87.419910631617071</v>
      </c>
    </row>
    <row r="71" spans="1:7" x14ac:dyDescent="0.2">
      <c r="A71" s="68" t="s">
        <v>58</v>
      </c>
      <c r="B71" s="69">
        <v>17903.88</v>
      </c>
      <c r="C71" s="336">
        <f>15073+4329+2200+1300+180+130</f>
        <v>23212</v>
      </c>
      <c r="D71" s="336">
        <f>15038+4329+2200+1300+180+130</f>
        <v>23177</v>
      </c>
      <c r="E71" s="69">
        <f>15318.65+5004.08+29+1910.53</f>
        <v>22262.26</v>
      </c>
      <c r="F71" s="108">
        <f t="shared" si="3"/>
        <v>124.34321499027025</v>
      </c>
      <c r="G71" s="109">
        <f t="shared" si="4"/>
        <v>96.05324243862448</v>
      </c>
    </row>
    <row r="72" spans="1:7" x14ac:dyDescent="0.2">
      <c r="A72" s="68" t="s">
        <v>59</v>
      </c>
      <c r="B72" s="69">
        <v>59907.91</v>
      </c>
      <c r="C72" s="336">
        <f>23480+14264+111335</f>
        <v>149079</v>
      </c>
      <c r="D72" s="336">
        <f>23480+14264+111335</f>
        <v>149079</v>
      </c>
      <c r="E72" s="69">
        <f>21265.05+14107.95+95275.47</f>
        <v>130648.47</v>
      </c>
      <c r="F72" s="108">
        <f t="shared" si="3"/>
        <v>218.08216978358951</v>
      </c>
      <c r="G72" s="109">
        <f t="shared" si="4"/>
        <v>87.637071619745228</v>
      </c>
    </row>
    <row r="73" spans="1:7" x14ac:dyDescent="0.2">
      <c r="A73" s="68" t="s">
        <v>60</v>
      </c>
      <c r="B73" s="69">
        <v>56889.75</v>
      </c>
      <c r="C73" s="336">
        <f>27215+3700+5970+2647</f>
        <v>39532</v>
      </c>
      <c r="D73" s="336">
        <f>27215+4000+5970+2647</f>
        <v>39832</v>
      </c>
      <c r="E73" s="69">
        <f>27075.76+4000+3316.51</f>
        <v>34392.269999999997</v>
      </c>
      <c r="F73" s="108">
        <f t="shared" si="3"/>
        <v>60.454247030440456</v>
      </c>
      <c r="G73" s="109">
        <f t="shared" si="4"/>
        <v>86.343316931110664</v>
      </c>
    </row>
    <row r="74" spans="1:7" x14ac:dyDescent="0.2">
      <c r="A74" s="68" t="s">
        <v>61</v>
      </c>
      <c r="B74" s="69">
        <v>3200.15</v>
      </c>
      <c r="C74" s="336">
        <f>3370+660</f>
        <v>4030</v>
      </c>
      <c r="D74" s="336">
        <f>3370+660</f>
        <v>4030</v>
      </c>
      <c r="E74" s="69">
        <v>3341.02</v>
      </c>
      <c r="F74" s="108">
        <f t="shared" si="3"/>
        <v>104.40198115713326</v>
      </c>
      <c r="G74" s="109">
        <f t="shared" si="4"/>
        <v>82.903722084367246</v>
      </c>
    </row>
    <row r="75" spans="1:7" x14ac:dyDescent="0.2">
      <c r="A75" s="68" t="s">
        <v>62</v>
      </c>
      <c r="B75" s="69">
        <v>885.16</v>
      </c>
      <c r="C75" s="336">
        <f>2300+600+3000</f>
        <v>5900</v>
      </c>
      <c r="D75" s="336">
        <f>2300+600+3000</f>
        <v>5900</v>
      </c>
      <c r="E75" s="69">
        <f>2235.4+597+865.4</f>
        <v>3697.8</v>
      </c>
      <c r="F75" s="108">
        <f t="shared" si="3"/>
        <v>417.75498215011976</v>
      </c>
      <c r="G75" s="109">
        <f t="shared" si="4"/>
        <v>62.674576271186446</v>
      </c>
    </row>
    <row r="76" spans="1:7" x14ac:dyDescent="0.2">
      <c r="A76" s="68" t="s">
        <v>63</v>
      </c>
      <c r="B76" s="69">
        <v>1423.87</v>
      </c>
      <c r="C76" s="336">
        <f>1150+400+1</f>
        <v>1551</v>
      </c>
      <c r="D76" s="336">
        <f>1150+400+1</f>
        <v>1551</v>
      </c>
      <c r="E76" s="69">
        <v>1102</v>
      </c>
      <c r="F76" s="108">
        <f t="shared" si="3"/>
        <v>77.39470597737153</v>
      </c>
      <c r="G76" s="109">
        <f t="shared" si="4"/>
        <v>71.05093488072211</v>
      </c>
    </row>
    <row r="77" spans="1:7" x14ac:dyDescent="0.2">
      <c r="A77" s="66" t="s">
        <v>64</v>
      </c>
      <c r="B77" s="67">
        <f>SUM(B78:B86)</f>
        <v>50850.38</v>
      </c>
      <c r="C77" s="271">
        <f>SUM(C78:C86)</f>
        <v>75897</v>
      </c>
      <c r="D77" s="271">
        <f t="shared" ref="D77:E77" si="27">SUM(D78:D86)</f>
        <v>75701</v>
      </c>
      <c r="E77" s="67">
        <f t="shared" si="27"/>
        <v>56484.36</v>
      </c>
      <c r="F77" s="110">
        <f t="shared" si="3"/>
        <v>111.079523889497</v>
      </c>
      <c r="G77" s="111">
        <f t="shared" si="4"/>
        <v>74.615077740056279</v>
      </c>
    </row>
    <row r="78" spans="1:7" x14ac:dyDescent="0.2">
      <c r="A78" s="68" t="s">
        <v>65</v>
      </c>
      <c r="B78" s="69">
        <v>3623.39</v>
      </c>
      <c r="C78" s="336">
        <f>4140+330</f>
        <v>4470</v>
      </c>
      <c r="D78" s="336">
        <f>4140+330</f>
        <v>4470</v>
      </c>
      <c r="E78" s="69">
        <f>4067.81+124.55</f>
        <v>4192.3599999999997</v>
      </c>
      <c r="F78" s="108">
        <f t="shared" si="3"/>
        <v>115.70269830186648</v>
      </c>
      <c r="G78" s="109">
        <f t="shared" si="4"/>
        <v>93.788814317673371</v>
      </c>
    </row>
    <row r="79" spans="1:7" x14ac:dyDescent="0.2">
      <c r="A79" s="68" t="s">
        <v>66</v>
      </c>
      <c r="B79" s="69">
        <v>28687.17</v>
      </c>
      <c r="C79" s="336">
        <f>26690+6000+2407+9620+7000</f>
        <v>51717</v>
      </c>
      <c r="D79" s="336">
        <f>26794+5700+2407+9620+7000</f>
        <v>51521</v>
      </c>
      <c r="E79" s="69">
        <f>27017.73+5640.87+1951.69</f>
        <v>34610.29</v>
      </c>
      <c r="F79" s="108">
        <f t="shared" si="3"/>
        <v>120.64727890551769</v>
      </c>
      <c r="G79" s="109">
        <f t="shared" si="4"/>
        <v>67.177054016808682</v>
      </c>
    </row>
    <row r="80" spans="1:7" x14ac:dyDescent="0.2">
      <c r="A80" s="68" t="s">
        <v>67</v>
      </c>
      <c r="B80" s="69">
        <v>790.63</v>
      </c>
      <c r="C80" s="336">
        <v>290</v>
      </c>
      <c r="D80" s="336">
        <v>290</v>
      </c>
      <c r="E80" s="69">
        <v>288.54000000000002</v>
      </c>
      <c r="F80" s="108">
        <f t="shared" si="3"/>
        <v>36.494947067528429</v>
      </c>
      <c r="G80" s="109">
        <f t="shared" si="4"/>
        <v>99.496551724137944</v>
      </c>
    </row>
    <row r="81" spans="1:10" x14ac:dyDescent="0.2">
      <c r="A81" s="68" t="s">
        <v>68</v>
      </c>
      <c r="B81" s="69">
        <v>6741.14</v>
      </c>
      <c r="C81" s="336">
        <v>7400</v>
      </c>
      <c r="D81" s="336">
        <v>7400</v>
      </c>
      <c r="E81" s="69">
        <v>7250.55</v>
      </c>
      <c r="F81" s="108">
        <f t="shared" si="3"/>
        <v>107.55673372752976</v>
      </c>
      <c r="G81" s="109">
        <f t="shared" si="4"/>
        <v>97.980405405405406</v>
      </c>
    </row>
    <row r="82" spans="1:10" x14ac:dyDescent="0.2">
      <c r="A82" s="68" t="s">
        <v>69</v>
      </c>
      <c r="B82" s="69">
        <v>727.98</v>
      </c>
      <c r="C82" s="336">
        <v>1125</v>
      </c>
      <c r="D82" s="336">
        <v>1125</v>
      </c>
      <c r="E82" s="69">
        <v>1138.8699999999999</v>
      </c>
      <c r="F82" s="108">
        <f t="shared" si="3"/>
        <v>156.44248468364515</v>
      </c>
      <c r="G82" s="109">
        <f t="shared" si="4"/>
        <v>101.23288888888888</v>
      </c>
    </row>
    <row r="83" spans="1:10" x14ac:dyDescent="0.2">
      <c r="A83" s="68" t="s">
        <v>70</v>
      </c>
      <c r="B83" s="69">
        <v>3454.46</v>
      </c>
      <c r="C83" s="336">
        <v>3735</v>
      </c>
      <c r="D83" s="336">
        <f>3735</f>
        <v>3735</v>
      </c>
      <c r="E83" s="69">
        <v>3738.57</v>
      </c>
      <c r="F83" s="108">
        <f t="shared" si="3"/>
        <v>108.2244402887861</v>
      </c>
      <c r="G83" s="109">
        <f t="shared" si="4"/>
        <v>100.09558232931728</v>
      </c>
    </row>
    <row r="84" spans="1:10" x14ac:dyDescent="0.2">
      <c r="A84" s="68" t="s">
        <v>71</v>
      </c>
      <c r="B84" s="69">
        <v>423.44</v>
      </c>
      <c r="C84" s="336">
        <f>130+2000+40</f>
        <v>2170</v>
      </c>
      <c r="D84" s="336">
        <f>130+2000+40</f>
        <v>2170</v>
      </c>
      <c r="E84" s="69">
        <f>124.42+151.95+30.4</f>
        <v>306.77</v>
      </c>
      <c r="F84" s="108">
        <f t="shared" si="3"/>
        <v>72.447099943321376</v>
      </c>
      <c r="G84" s="109">
        <f t="shared" si="4"/>
        <v>14.136866359447003</v>
      </c>
    </row>
    <row r="85" spans="1:10" x14ac:dyDescent="0.2">
      <c r="A85" s="68" t="s">
        <v>72</v>
      </c>
      <c r="B85" s="69">
        <v>1003.57</v>
      </c>
      <c r="C85" s="336">
        <v>660</v>
      </c>
      <c r="D85" s="336">
        <v>660</v>
      </c>
      <c r="E85" s="69">
        <v>685.39</v>
      </c>
      <c r="F85" s="108">
        <f t="shared" ref="F85:F119" si="28">E85/B85*100</f>
        <v>68.295186185318414</v>
      </c>
      <c r="G85" s="109">
        <f t="shared" ref="G85:G119" si="29">E85/D85*100</f>
        <v>103.84696969696969</v>
      </c>
    </row>
    <row r="86" spans="1:10" x14ac:dyDescent="0.2">
      <c r="A86" s="68" t="s">
        <v>73</v>
      </c>
      <c r="B86" s="69">
        <v>5398.6</v>
      </c>
      <c r="C86" s="336">
        <f>4040+290</f>
        <v>4330</v>
      </c>
      <c r="D86" s="336">
        <f>4040+290</f>
        <v>4330</v>
      </c>
      <c r="E86" s="69">
        <f>4002.31+270.71</f>
        <v>4273.0199999999995</v>
      </c>
      <c r="F86" s="108">
        <f t="shared" si="28"/>
        <v>79.15052050531618</v>
      </c>
      <c r="G86" s="109">
        <f t="shared" si="29"/>
        <v>98.684064665127011</v>
      </c>
    </row>
    <row r="87" spans="1:10" x14ac:dyDescent="0.2">
      <c r="A87" s="77" t="s">
        <v>253</v>
      </c>
      <c r="B87" s="67">
        <f>B88</f>
        <v>155.29</v>
      </c>
      <c r="C87" s="271">
        <f>C88</f>
        <v>390</v>
      </c>
      <c r="D87" s="271">
        <f t="shared" ref="D87:E87" si="30">D88</f>
        <v>390</v>
      </c>
      <c r="E87" s="67">
        <f t="shared" si="30"/>
        <v>0</v>
      </c>
      <c r="F87" s="110"/>
      <c r="G87" s="111">
        <f t="shared" si="29"/>
        <v>0</v>
      </c>
    </row>
    <row r="88" spans="1:10" x14ac:dyDescent="0.2">
      <c r="A88" s="70" t="s">
        <v>254</v>
      </c>
      <c r="B88" s="69">
        <v>155.29</v>
      </c>
      <c r="C88" s="336">
        <f>260+130</f>
        <v>390</v>
      </c>
      <c r="D88" s="336">
        <f>260+130</f>
        <v>390</v>
      </c>
      <c r="E88" s="69"/>
      <c r="F88" s="108"/>
      <c r="G88" s="109">
        <f t="shared" si="29"/>
        <v>0</v>
      </c>
    </row>
    <row r="89" spans="1:10" x14ac:dyDescent="0.2">
      <c r="A89" s="66" t="s">
        <v>74</v>
      </c>
      <c r="B89" s="67">
        <f>SUM(B90:B95)</f>
        <v>16198.18</v>
      </c>
      <c r="C89" s="271">
        <f>SUM(C90:C95)</f>
        <v>12815</v>
      </c>
      <c r="D89" s="271">
        <f>SUM(D90:D95)</f>
        <v>12808</v>
      </c>
      <c r="E89" s="67">
        <f>SUM(E90:E95)</f>
        <v>12754.25</v>
      </c>
      <c r="F89" s="110">
        <f t="shared" si="28"/>
        <v>78.738784233784287</v>
      </c>
      <c r="G89" s="111">
        <f t="shared" si="29"/>
        <v>99.58034041224235</v>
      </c>
    </row>
    <row r="90" spans="1:10" x14ac:dyDescent="0.2">
      <c r="A90" s="70" t="s">
        <v>255</v>
      </c>
      <c r="B90" s="69">
        <v>4897.0200000000004</v>
      </c>
      <c r="C90" s="336">
        <v>4780</v>
      </c>
      <c r="D90" s="336">
        <v>4773</v>
      </c>
      <c r="E90" s="69">
        <v>4712.07</v>
      </c>
      <c r="F90" s="108">
        <f t="shared" si="28"/>
        <v>96.22321330115048</v>
      </c>
      <c r="G90" s="109">
        <f t="shared" si="29"/>
        <v>98.723444374607155</v>
      </c>
    </row>
    <row r="91" spans="1:10" x14ac:dyDescent="0.2">
      <c r="A91" s="68" t="s">
        <v>75</v>
      </c>
      <c r="B91" s="69">
        <v>1609.33</v>
      </c>
      <c r="C91" s="336">
        <f>2000+110</f>
        <v>2110</v>
      </c>
      <c r="D91" s="336">
        <f>2000+110</f>
        <v>2110</v>
      </c>
      <c r="E91" s="69">
        <f>2092.83+142.53</f>
        <v>2235.36</v>
      </c>
      <c r="F91" s="108">
        <f t="shared" si="28"/>
        <v>138.90003914672567</v>
      </c>
      <c r="G91" s="109">
        <f t="shared" si="29"/>
        <v>105.94123222748814</v>
      </c>
    </row>
    <row r="92" spans="1:10" x14ac:dyDescent="0.2">
      <c r="A92" s="68" t="s">
        <v>76</v>
      </c>
      <c r="B92" s="69">
        <v>106.18</v>
      </c>
      <c r="C92" s="336">
        <v>165</v>
      </c>
      <c r="D92" s="336">
        <v>165</v>
      </c>
      <c r="E92" s="69">
        <v>163.09</v>
      </c>
      <c r="F92" s="108">
        <f t="shared" si="28"/>
        <v>153.59766434356752</v>
      </c>
      <c r="G92" s="109">
        <f t="shared" si="29"/>
        <v>98.842424242424244</v>
      </c>
    </row>
    <row r="93" spans="1:10" x14ac:dyDescent="0.2">
      <c r="A93" s="68" t="s">
        <v>77</v>
      </c>
      <c r="B93" s="69">
        <v>1261.8599999999999</v>
      </c>
      <c r="C93" s="336">
        <v>60</v>
      </c>
      <c r="D93" s="336">
        <v>60</v>
      </c>
      <c r="E93" s="69">
        <v>23.83</v>
      </c>
      <c r="F93" s="108">
        <f t="shared" si="28"/>
        <v>1.8884820820059278</v>
      </c>
      <c r="G93" s="109">
        <f t="shared" si="29"/>
        <v>39.716666666666661</v>
      </c>
    </row>
    <row r="94" spans="1:10" s="9" customFormat="1" x14ac:dyDescent="0.2">
      <c r="A94" s="90" t="s">
        <v>264</v>
      </c>
      <c r="B94" s="79">
        <v>3948.5</v>
      </c>
      <c r="C94" s="85"/>
      <c r="D94" s="85"/>
      <c r="E94" s="79"/>
      <c r="F94" s="112">
        <f t="shared" si="28"/>
        <v>0</v>
      </c>
      <c r="G94" s="113" t="e">
        <f t="shared" si="29"/>
        <v>#DIV/0!</v>
      </c>
      <c r="J94" s="323"/>
    </row>
    <row r="95" spans="1:10" x14ac:dyDescent="0.2">
      <c r="A95" s="78" t="s">
        <v>78</v>
      </c>
      <c r="B95" s="79">
        <v>4375.29</v>
      </c>
      <c r="C95" s="85">
        <f>2800+270+100+2400+130</f>
        <v>5700</v>
      </c>
      <c r="D95" s="85">
        <f>2800+270+100+2400+130</f>
        <v>5700</v>
      </c>
      <c r="E95" s="79">
        <f>2806.02+264.1+2427.72+122.06</f>
        <v>5619.9000000000005</v>
      </c>
      <c r="F95" s="112">
        <f t="shared" si="28"/>
        <v>128.44634298526498</v>
      </c>
      <c r="G95" s="113">
        <f t="shared" si="29"/>
        <v>98.594736842105263</v>
      </c>
    </row>
    <row r="96" spans="1:10" x14ac:dyDescent="0.2">
      <c r="A96" s="80" t="s">
        <v>79</v>
      </c>
      <c r="B96" s="81">
        <f>B97</f>
        <v>5801.34</v>
      </c>
      <c r="C96" s="337">
        <f>C97</f>
        <v>2530</v>
      </c>
      <c r="D96" s="337">
        <f t="shared" ref="D96:E96" si="31">D97</f>
        <v>2432</v>
      </c>
      <c r="E96" s="81">
        <f t="shared" si="31"/>
        <v>2190.09</v>
      </c>
      <c r="F96" s="114">
        <f t="shared" si="28"/>
        <v>37.751450526947224</v>
      </c>
      <c r="G96" s="115">
        <f t="shared" si="29"/>
        <v>90.053042763157904</v>
      </c>
    </row>
    <row r="97" spans="1:10" x14ac:dyDescent="0.2">
      <c r="A97" s="75" t="s">
        <v>80</v>
      </c>
      <c r="B97" s="76">
        <f>SUM(B98:B101)</f>
        <v>5801.34</v>
      </c>
      <c r="C97" s="270">
        <f>SUM(C98:C101)</f>
        <v>2530</v>
      </c>
      <c r="D97" s="270">
        <f t="shared" ref="D97:E97" si="32">SUM(D98:D101)</f>
        <v>2432</v>
      </c>
      <c r="E97" s="76">
        <f t="shared" si="32"/>
        <v>2190.09</v>
      </c>
      <c r="F97" s="106">
        <f t="shared" si="28"/>
        <v>37.751450526947224</v>
      </c>
      <c r="G97" s="107">
        <f t="shared" si="29"/>
        <v>90.053042763157904</v>
      </c>
    </row>
    <row r="98" spans="1:10" x14ac:dyDescent="0.2">
      <c r="A98" s="68" t="s">
        <v>81</v>
      </c>
      <c r="B98" s="69">
        <v>2567.75</v>
      </c>
      <c r="C98" s="336">
        <f>2270+260</f>
        <v>2530</v>
      </c>
      <c r="D98" s="336">
        <f>2172+260</f>
        <v>2432</v>
      </c>
      <c r="E98" s="69">
        <f>2171.76+18.33</f>
        <v>2190.09</v>
      </c>
      <c r="F98" s="108">
        <f t="shared" si="28"/>
        <v>85.292181871288093</v>
      </c>
      <c r="G98" s="109">
        <f t="shared" si="29"/>
        <v>90.053042763157904</v>
      </c>
    </row>
    <row r="99" spans="1:10" x14ac:dyDescent="0.2">
      <c r="A99" s="70" t="s">
        <v>256</v>
      </c>
      <c r="B99" s="69">
        <v>0</v>
      </c>
      <c r="C99" s="336">
        <v>0</v>
      </c>
      <c r="D99" s="336"/>
      <c r="E99" s="69"/>
      <c r="F99" s="108"/>
      <c r="G99" s="109"/>
    </row>
    <row r="100" spans="1:10" x14ac:dyDescent="0.2">
      <c r="A100" s="68" t="s">
        <v>82</v>
      </c>
      <c r="B100" s="69">
        <v>3233.59</v>
      </c>
      <c r="C100" s="336"/>
      <c r="D100" s="336"/>
      <c r="E100" s="69"/>
      <c r="F100" s="108">
        <f t="shared" si="28"/>
        <v>0</v>
      </c>
      <c r="G100" s="109" t="e">
        <f t="shared" si="29"/>
        <v>#DIV/0!</v>
      </c>
    </row>
    <row r="101" spans="1:10" x14ac:dyDescent="0.2">
      <c r="A101" s="78" t="s">
        <v>83</v>
      </c>
      <c r="B101" s="79">
        <v>0</v>
      </c>
      <c r="C101" s="85"/>
      <c r="D101" s="85"/>
      <c r="E101" s="79"/>
      <c r="F101" s="112"/>
      <c r="G101" s="113"/>
    </row>
    <row r="102" spans="1:10" x14ac:dyDescent="0.2">
      <c r="A102" s="92" t="s">
        <v>257</v>
      </c>
      <c r="B102" s="81">
        <f>B103</f>
        <v>48383.75</v>
      </c>
      <c r="C102" s="337">
        <f>C103</f>
        <v>52545</v>
      </c>
      <c r="D102" s="337">
        <f t="shared" ref="D102:E103" si="33">D103</f>
        <v>52545</v>
      </c>
      <c r="E102" s="81">
        <f t="shared" si="33"/>
        <v>50393.95</v>
      </c>
      <c r="F102" s="114">
        <f>E102/B102*100</f>
        <v>104.15470070013176</v>
      </c>
      <c r="G102" s="115">
        <f>E102/D102*100</f>
        <v>95.906270815491482</v>
      </c>
    </row>
    <row r="103" spans="1:10" x14ac:dyDescent="0.2">
      <c r="A103" s="86" t="s">
        <v>258</v>
      </c>
      <c r="B103" s="76">
        <f>B104</f>
        <v>48383.75</v>
      </c>
      <c r="C103" s="270">
        <f>C104</f>
        <v>52545</v>
      </c>
      <c r="D103" s="270">
        <f>D104</f>
        <v>52545</v>
      </c>
      <c r="E103" s="76">
        <f t="shared" si="33"/>
        <v>50393.95</v>
      </c>
      <c r="F103" s="106">
        <f>E103/B103*100</f>
        <v>104.15470070013176</v>
      </c>
      <c r="G103" s="107">
        <f>E103/D103*100</f>
        <v>95.906270815491482</v>
      </c>
    </row>
    <row r="104" spans="1:10" x14ac:dyDescent="0.2">
      <c r="A104" s="90" t="s">
        <v>245</v>
      </c>
      <c r="B104" s="79">
        <v>48383.75</v>
      </c>
      <c r="C104" s="85">
        <f>31115+200+21230</f>
        <v>52545</v>
      </c>
      <c r="D104" s="85">
        <f>31115+200+21230</f>
        <v>52545</v>
      </c>
      <c r="E104" s="79">
        <f>31113+19280.95</f>
        <v>50393.95</v>
      </c>
      <c r="F104" s="112">
        <f>E104/B104*100</f>
        <v>104.15470070013176</v>
      </c>
      <c r="G104" s="113">
        <f>E104/D104*100</f>
        <v>95.906270815491482</v>
      </c>
    </row>
    <row r="105" spans="1:10" x14ac:dyDescent="0.2">
      <c r="A105" s="80" t="s">
        <v>84</v>
      </c>
      <c r="B105" s="81">
        <f>B106+B108</f>
        <v>1533.83</v>
      </c>
      <c r="C105" s="337">
        <f t="shared" ref="C105:E105" si="34">C106+C108</f>
        <v>2956</v>
      </c>
      <c r="D105" s="337">
        <f t="shared" si="34"/>
        <v>2954</v>
      </c>
      <c r="E105" s="81">
        <f t="shared" si="34"/>
        <v>2951.16</v>
      </c>
      <c r="F105" s="114">
        <f t="shared" si="28"/>
        <v>192.40463415111194</v>
      </c>
      <c r="G105" s="115">
        <f t="shared" si="29"/>
        <v>99.903859174001354</v>
      </c>
    </row>
    <row r="106" spans="1:10" s="139" customFormat="1" x14ac:dyDescent="0.2">
      <c r="A106" s="274" t="s">
        <v>370</v>
      </c>
      <c r="B106" s="76">
        <f>B107</f>
        <v>0</v>
      </c>
      <c r="C106" s="270">
        <f>C107</f>
        <v>1036</v>
      </c>
      <c r="D106" s="270">
        <f>D107</f>
        <v>1036</v>
      </c>
      <c r="E106" s="76">
        <f t="shared" ref="E106" si="35">E107</f>
        <v>1033.5</v>
      </c>
      <c r="F106" s="106" t="e">
        <f t="shared" ref="F106:F107" si="36">E106/B106*100</f>
        <v>#DIV/0!</v>
      </c>
      <c r="G106" s="107">
        <f t="shared" ref="G106:G107" si="37">E106/D106*100</f>
        <v>99.75868725868726</v>
      </c>
      <c r="J106" s="323"/>
    </row>
    <row r="107" spans="1:10" s="139" customFormat="1" x14ac:dyDescent="0.2">
      <c r="A107" s="90" t="s">
        <v>371</v>
      </c>
      <c r="B107" s="79">
        <v>0</v>
      </c>
      <c r="C107" s="85">
        <f>1+1035</f>
        <v>1036</v>
      </c>
      <c r="D107" s="85">
        <f>1+1035</f>
        <v>1036</v>
      </c>
      <c r="E107" s="79">
        <f>0.61+1032.89</f>
        <v>1033.5</v>
      </c>
      <c r="F107" s="112" t="e">
        <f t="shared" si="36"/>
        <v>#DIV/0!</v>
      </c>
      <c r="G107" s="113">
        <f t="shared" si="37"/>
        <v>99.75868725868726</v>
      </c>
      <c r="J107" s="323"/>
    </row>
    <row r="108" spans="1:10" x14ac:dyDescent="0.2">
      <c r="A108" s="75" t="s">
        <v>85</v>
      </c>
      <c r="B108" s="76">
        <f>B109</f>
        <v>1533.83</v>
      </c>
      <c r="C108" s="270">
        <f>C109</f>
        <v>1920</v>
      </c>
      <c r="D108" s="270">
        <f t="shared" ref="D108:E108" si="38">D109</f>
        <v>1918</v>
      </c>
      <c r="E108" s="76">
        <f t="shared" si="38"/>
        <v>1917.66</v>
      </c>
      <c r="F108" s="106">
        <f t="shared" si="28"/>
        <v>125.02428561183443</v>
      </c>
      <c r="G108" s="107">
        <f t="shared" si="29"/>
        <v>99.982273201251303</v>
      </c>
    </row>
    <row r="109" spans="1:10" s="65" customFormat="1" ht="13.5" thickBot="1" x14ac:dyDescent="0.25">
      <c r="A109" s="84" t="s">
        <v>246</v>
      </c>
      <c r="B109" s="85">
        <v>1533.83</v>
      </c>
      <c r="C109" s="85">
        <v>1920</v>
      </c>
      <c r="D109" s="85">
        <v>1918</v>
      </c>
      <c r="E109" s="85">
        <v>1917.66</v>
      </c>
      <c r="F109" s="124">
        <f t="shared" si="28"/>
        <v>125.02428561183443</v>
      </c>
      <c r="G109" s="125">
        <f t="shared" si="29"/>
        <v>99.982273201251303</v>
      </c>
      <c r="J109" s="332"/>
    </row>
    <row r="110" spans="1:10" ht="18" customHeight="1" thickBot="1" x14ac:dyDescent="0.25">
      <c r="A110" s="82" t="s">
        <v>14</v>
      </c>
      <c r="B110" s="83">
        <f>B111</f>
        <v>12959.07</v>
      </c>
      <c r="C110" s="341">
        <f>C111</f>
        <v>30946</v>
      </c>
      <c r="D110" s="341">
        <f t="shared" ref="D110:E110" si="39">D111</f>
        <v>30941</v>
      </c>
      <c r="E110" s="83">
        <f t="shared" si="39"/>
        <v>16545.669999999998</v>
      </c>
      <c r="F110" s="102">
        <f t="shared" si="28"/>
        <v>127.67636875176997</v>
      </c>
      <c r="G110" s="103">
        <f t="shared" si="29"/>
        <v>53.474903849261487</v>
      </c>
    </row>
    <row r="111" spans="1:10" x14ac:dyDescent="0.2">
      <c r="A111" s="95" t="s">
        <v>259</v>
      </c>
      <c r="B111" s="88">
        <f>B112+B118</f>
        <v>12959.07</v>
      </c>
      <c r="C111" s="335">
        <f>C112+C118</f>
        <v>30946</v>
      </c>
      <c r="D111" s="335">
        <f t="shared" ref="D111:E111" si="40">D112+D118</f>
        <v>30941</v>
      </c>
      <c r="E111" s="88">
        <f t="shared" si="40"/>
        <v>16545.669999999998</v>
      </c>
      <c r="F111" s="104">
        <f t="shared" si="28"/>
        <v>127.67636875176997</v>
      </c>
      <c r="G111" s="105">
        <f t="shared" si="29"/>
        <v>53.474903849261487</v>
      </c>
    </row>
    <row r="112" spans="1:10" x14ac:dyDescent="0.2">
      <c r="A112" s="75" t="s">
        <v>86</v>
      </c>
      <c r="B112" s="76">
        <f>SUM(B113:B117)</f>
        <v>9936.48</v>
      </c>
      <c r="C112" s="270">
        <f>SUM(C113:C117)</f>
        <v>22716</v>
      </c>
      <c r="D112" s="270">
        <f t="shared" ref="D112:E112" si="41">SUM(D113:D117)</f>
        <v>22713</v>
      </c>
      <c r="E112" s="76">
        <f t="shared" si="41"/>
        <v>14421.3</v>
      </c>
      <c r="F112" s="106">
        <f t="shared" si="28"/>
        <v>145.13489686488575</v>
      </c>
      <c r="G112" s="107">
        <f t="shared" si="29"/>
        <v>63.493593977017561</v>
      </c>
    </row>
    <row r="113" spans="1:7" x14ac:dyDescent="0.2">
      <c r="A113" s="68" t="s">
        <v>87</v>
      </c>
      <c r="B113" s="69">
        <v>8761.66</v>
      </c>
      <c r="C113" s="336">
        <f>6940+2000+1830</f>
        <v>10770</v>
      </c>
      <c r="D113" s="336">
        <f>6940+2000+1830</f>
        <v>10770</v>
      </c>
      <c r="E113" s="69">
        <f>6939.91+540+3732.5</f>
        <v>11212.41</v>
      </c>
      <c r="F113" s="108">
        <f t="shared" si="28"/>
        <v>127.97129767646771</v>
      </c>
      <c r="G113" s="109">
        <f t="shared" si="29"/>
        <v>104.10779944289695</v>
      </c>
    </row>
    <row r="114" spans="1:7" x14ac:dyDescent="0.2">
      <c r="A114" s="68" t="s">
        <v>88</v>
      </c>
      <c r="B114" s="69"/>
      <c r="C114" s="336"/>
      <c r="D114" s="336"/>
      <c r="E114" s="69"/>
      <c r="F114" s="108"/>
      <c r="G114" s="109"/>
    </row>
    <row r="115" spans="1:7" x14ac:dyDescent="0.2">
      <c r="A115" s="68" t="s">
        <v>89</v>
      </c>
      <c r="B115" s="69"/>
      <c r="C115" s="336"/>
      <c r="D115" s="336"/>
      <c r="E115" s="69"/>
      <c r="F115" s="108"/>
      <c r="G115" s="109"/>
    </row>
    <row r="116" spans="1:7" x14ac:dyDescent="0.2">
      <c r="A116" s="68" t="s">
        <v>90</v>
      </c>
      <c r="B116" s="69">
        <v>90.25</v>
      </c>
      <c r="C116" s="336">
        <v>2000</v>
      </c>
      <c r="D116" s="336">
        <f>2000</f>
        <v>2000</v>
      </c>
      <c r="E116" s="69"/>
      <c r="F116" s="108"/>
      <c r="G116" s="109">
        <f t="shared" si="29"/>
        <v>0</v>
      </c>
    </row>
    <row r="117" spans="1:7" x14ac:dyDescent="0.2">
      <c r="A117" s="68" t="s">
        <v>91</v>
      </c>
      <c r="B117" s="69">
        <v>1084.57</v>
      </c>
      <c r="C117" s="336">
        <f>1900+660+385+7001</f>
        <v>9946</v>
      </c>
      <c r="D117" s="336">
        <f>1897+660+385+7001</f>
        <v>9943</v>
      </c>
      <c r="E117" s="69">
        <f>1896.64+1312.25</f>
        <v>3208.8900000000003</v>
      </c>
      <c r="F117" s="108">
        <f t="shared" si="28"/>
        <v>295.86748665369691</v>
      </c>
      <c r="G117" s="109">
        <f t="shared" si="29"/>
        <v>32.27285527506789</v>
      </c>
    </row>
    <row r="118" spans="1:7" x14ac:dyDescent="0.2">
      <c r="A118" s="66" t="s">
        <v>92</v>
      </c>
      <c r="B118" s="67">
        <f>B119</f>
        <v>3022.59</v>
      </c>
      <c r="C118" s="271">
        <f>C119</f>
        <v>8230</v>
      </c>
      <c r="D118" s="271">
        <f t="shared" ref="D118:E118" si="42">D119</f>
        <v>8228</v>
      </c>
      <c r="E118" s="67">
        <f t="shared" si="42"/>
        <v>2124.37</v>
      </c>
      <c r="F118" s="110">
        <f t="shared" si="28"/>
        <v>70.283101578447614</v>
      </c>
      <c r="G118" s="111">
        <f t="shared" si="29"/>
        <v>25.818789499270782</v>
      </c>
    </row>
    <row r="119" spans="1:7" ht="13.5" thickBot="1" x14ac:dyDescent="0.25">
      <c r="A119" s="72" t="s">
        <v>93</v>
      </c>
      <c r="B119" s="73">
        <v>3022.59</v>
      </c>
      <c r="C119" s="272">
        <f>1330+260+6640</f>
        <v>8230</v>
      </c>
      <c r="D119" s="272">
        <f>1328+260+6640</f>
        <v>8228</v>
      </c>
      <c r="E119" s="73">
        <f>1327.71+796.66</f>
        <v>2124.37</v>
      </c>
      <c r="F119" s="126">
        <f t="shared" si="28"/>
        <v>70.283101578447614</v>
      </c>
      <c r="G119" s="127">
        <f t="shared" si="29"/>
        <v>25.818789499270782</v>
      </c>
    </row>
    <row r="120" spans="1:7" ht="13.5" thickTop="1" x14ac:dyDescent="0.2">
      <c r="A120" s="7" t="s">
        <v>0</v>
      </c>
      <c r="B120" s="7" t="s">
        <v>0</v>
      </c>
      <c r="C120" s="6" t="s">
        <v>0</v>
      </c>
      <c r="D120" s="6" t="s">
        <v>0</v>
      </c>
      <c r="E120" s="7" t="s">
        <v>0</v>
      </c>
      <c r="F120" s="7" t="s">
        <v>0</v>
      </c>
      <c r="G120" s="7" t="s">
        <v>0</v>
      </c>
    </row>
  </sheetData>
  <mergeCells count="6">
    <mergeCell ref="A5:G5"/>
    <mergeCell ref="A8:G8"/>
    <mergeCell ref="A10:G10"/>
    <mergeCell ref="A7:G7"/>
    <mergeCell ref="A6:G6"/>
    <mergeCell ref="A9:F9"/>
  </mergeCells>
  <pageMargins left="0.35433070866141736" right="0.35433070866141736" top="0.59055118110236227" bottom="0.39370078740157483" header="0.51181102362204722" footer="0.51181102362204722"/>
  <pageSetup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22" workbookViewId="0">
      <selection activeCell="S11" sqref="S11:T11"/>
    </sheetView>
  </sheetViews>
  <sheetFormatPr defaultRowHeight="12.75" x14ac:dyDescent="0.2"/>
  <cols>
    <col min="2" max="2" width="8.85546875" customWidth="1"/>
    <col min="9" max="9" width="5.28515625" customWidth="1"/>
    <col min="10" max="12" width="8.85546875" hidden="1" customWidth="1"/>
    <col min="17" max="18" width="8.7109375" customWidth="1"/>
    <col min="19" max="20" width="8.140625" customWidth="1"/>
    <col min="21" max="24" width="5.5703125" customWidth="1"/>
    <col min="26" max="26" width="16" style="323" customWidth="1"/>
  </cols>
  <sheetData>
    <row r="1" spans="1:26" s="9" customFormat="1" x14ac:dyDescent="0.2">
      <c r="A1" s="9" t="s">
        <v>234</v>
      </c>
      <c r="Z1" s="323"/>
    </row>
    <row r="2" spans="1:26" s="9" customFormat="1" x14ac:dyDescent="0.2">
      <c r="A2" s="9" t="s">
        <v>235</v>
      </c>
      <c r="Z2" s="323"/>
    </row>
    <row r="3" spans="1:26" s="9" customFormat="1" x14ac:dyDescent="0.2">
      <c r="A3" s="9" t="s">
        <v>236</v>
      </c>
      <c r="Z3" s="323"/>
    </row>
    <row r="4" spans="1:26" s="9" customFormat="1" x14ac:dyDescent="0.2">
      <c r="A4" s="9" t="s">
        <v>237</v>
      </c>
      <c r="Z4" s="323"/>
    </row>
    <row r="5" spans="1:26" x14ac:dyDescent="0.2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6" s="1" customFormat="1" ht="24" customHeight="1" x14ac:dyDescent="0.25">
      <c r="A6" s="373" t="s">
        <v>364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Z6" s="324"/>
    </row>
    <row r="7" spans="1:26" s="3" customFormat="1" ht="24" customHeight="1" x14ac:dyDescent="0.25">
      <c r="A7" s="380" t="s">
        <v>265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Z7" s="344"/>
    </row>
    <row r="8" spans="1:26" s="9" customFormat="1" ht="24" customHeight="1" x14ac:dyDescent="0.2">
      <c r="A8" s="374" t="s">
        <v>365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Z8" s="323"/>
    </row>
    <row r="9" spans="1:26" s="9" customFormat="1" x14ac:dyDescent="0.2">
      <c r="A9" s="376" t="s">
        <v>238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Z9" s="323"/>
    </row>
    <row r="10" spans="1:26" ht="13.5" thickBot="1" x14ac:dyDescent="0.25">
      <c r="A10" s="379" t="s">
        <v>0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</row>
    <row r="11" spans="1:26" s="10" customFormat="1" ht="30.75" customHeight="1" thickTop="1" x14ac:dyDescent="0.2">
      <c r="A11" s="458" t="s">
        <v>1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60" t="s">
        <v>329</v>
      </c>
      <c r="N11" s="459"/>
      <c r="O11" s="473" t="s">
        <v>381</v>
      </c>
      <c r="P11" s="474"/>
      <c r="Q11" s="460" t="s">
        <v>367</v>
      </c>
      <c r="R11" s="459"/>
      <c r="S11" s="460" t="s">
        <v>368</v>
      </c>
      <c r="T11" s="459"/>
      <c r="U11" s="462" t="s">
        <v>2</v>
      </c>
      <c r="V11" s="459"/>
      <c r="W11" s="462" t="s">
        <v>3</v>
      </c>
      <c r="X11" s="463"/>
      <c r="Z11" s="322"/>
    </row>
    <row r="12" spans="1:26" s="10" customFormat="1" ht="13.5" thickBot="1" x14ac:dyDescent="0.25">
      <c r="A12" s="454" t="s">
        <v>94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6" t="s">
        <v>5</v>
      </c>
      <c r="N12" s="455"/>
      <c r="O12" s="456" t="s">
        <v>6</v>
      </c>
      <c r="P12" s="455"/>
      <c r="Q12" s="456" t="s">
        <v>7</v>
      </c>
      <c r="R12" s="455"/>
      <c r="S12" s="456" t="s">
        <v>8</v>
      </c>
      <c r="T12" s="455"/>
      <c r="U12" s="456" t="s">
        <v>9</v>
      </c>
      <c r="V12" s="455"/>
      <c r="W12" s="456" t="s">
        <v>10</v>
      </c>
      <c r="X12" s="457"/>
      <c r="Z12" s="322"/>
    </row>
    <row r="13" spans="1:26" s="140" customFormat="1" ht="13.5" customHeight="1" thickTop="1" thickBot="1" x14ac:dyDescent="0.25">
      <c r="A13" s="448" t="s">
        <v>270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50"/>
      <c r="N13" s="449"/>
      <c r="O13" s="451">
        <v>155262800</v>
      </c>
      <c r="P13" s="449"/>
      <c r="Q13" s="451">
        <v>155262800</v>
      </c>
      <c r="R13" s="449"/>
      <c r="S13" s="451">
        <v>65689141.640000001</v>
      </c>
      <c r="T13" s="449"/>
      <c r="U13" s="452">
        <v>120.41</v>
      </c>
      <c r="V13" s="449"/>
      <c r="W13" s="452">
        <v>42.31</v>
      </c>
      <c r="X13" s="453"/>
      <c r="Z13" s="321"/>
    </row>
    <row r="14" spans="1:26" s="136" customFormat="1" x14ac:dyDescent="0.2">
      <c r="A14" s="427" t="s">
        <v>95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9">
        <f>SUM(M15:N17)</f>
        <v>230458.56999999998</v>
      </c>
      <c r="N14" s="428"/>
      <c r="O14" s="429">
        <f t="shared" ref="O14" si="0">SUM(O15:P17)</f>
        <v>238130</v>
      </c>
      <c r="P14" s="428"/>
      <c r="Q14" s="429">
        <f t="shared" ref="Q14" si="1">SUM(Q15:R17)</f>
        <v>238130</v>
      </c>
      <c r="R14" s="428"/>
      <c r="S14" s="429">
        <f>SUM(S15:T17)</f>
        <v>227519.5</v>
      </c>
      <c r="T14" s="428"/>
      <c r="U14" s="424">
        <f>S14/M14*100</f>
        <v>98.724686176782242</v>
      </c>
      <c r="V14" s="446"/>
      <c r="W14" s="424">
        <f>S14/Q14*100</f>
        <v>95.544240540881034</v>
      </c>
      <c r="X14" s="447"/>
      <c r="Z14" s="345"/>
    </row>
    <row r="15" spans="1:26" s="14" customFormat="1" x14ac:dyDescent="0.2">
      <c r="A15" s="398" t="s">
        <v>268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00">
        <v>88015.42</v>
      </c>
      <c r="N15" s="400"/>
      <c r="O15" s="400">
        <v>108720</v>
      </c>
      <c r="P15" s="400"/>
      <c r="Q15" s="400">
        <v>108720</v>
      </c>
      <c r="R15" s="400"/>
      <c r="S15" s="400">
        <v>104389.62</v>
      </c>
      <c r="T15" s="400"/>
      <c r="U15" s="401">
        <f t="shared" ref="U15:U53" si="2">S15/M15*100</f>
        <v>118.60378556393869</v>
      </c>
      <c r="V15" s="401"/>
      <c r="W15" s="401">
        <f t="shared" ref="W15:W53" si="3">S15/Q15*100</f>
        <v>96.01694260485651</v>
      </c>
      <c r="X15" s="465"/>
      <c r="Z15" s="325"/>
    </row>
    <row r="16" spans="1:26" s="14" customFormat="1" x14ac:dyDescent="0.2">
      <c r="A16" s="409" t="s">
        <v>97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1">
        <v>154840.13</v>
      </c>
      <c r="N16" s="410"/>
      <c r="O16" s="411">
        <v>129410</v>
      </c>
      <c r="P16" s="410"/>
      <c r="Q16" s="411">
        <v>129410</v>
      </c>
      <c r="R16" s="410"/>
      <c r="S16" s="411">
        <v>123129.88</v>
      </c>
      <c r="T16" s="410"/>
      <c r="U16" s="413">
        <f t="shared" si="2"/>
        <v>79.520651397024793</v>
      </c>
      <c r="V16" s="464"/>
      <c r="W16" s="413">
        <f t="shared" si="3"/>
        <v>95.14711382427943</v>
      </c>
      <c r="X16" s="415"/>
      <c r="Z16" s="325"/>
    </row>
    <row r="17" spans="1:26" s="135" customFormat="1" x14ac:dyDescent="0.2">
      <c r="A17" s="409" t="s">
        <v>372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1">
        <v>-12396.98</v>
      </c>
      <c r="N17" s="410"/>
      <c r="O17" s="411"/>
      <c r="P17" s="410"/>
      <c r="Q17" s="411"/>
      <c r="R17" s="410"/>
      <c r="S17" s="411"/>
      <c r="T17" s="410"/>
      <c r="U17" s="413">
        <f t="shared" ref="U17" si="4">S17/M17*100</f>
        <v>0</v>
      </c>
      <c r="V17" s="464"/>
      <c r="W17" s="413" t="e">
        <f t="shared" ref="W17" si="5">S17/Q17*100</f>
        <v>#DIV/0!</v>
      </c>
      <c r="X17" s="415"/>
      <c r="Z17" s="325"/>
    </row>
    <row r="18" spans="1:26" s="136" customFormat="1" x14ac:dyDescent="0.2">
      <c r="A18" s="404" t="s">
        <v>98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6">
        <f>SUM(M19:N20)</f>
        <v>8144.67</v>
      </c>
      <c r="N18" s="405"/>
      <c r="O18" s="406">
        <f t="shared" ref="O18" si="6">SUM(O19:P20)</f>
        <v>21652</v>
      </c>
      <c r="P18" s="405"/>
      <c r="Q18" s="406">
        <f t="shared" ref="Q18" si="7">SUM(Q19:R20)</f>
        <v>21652</v>
      </c>
      <c r="R18" s="405"/>
      <c r="S18" s="406">
        <f t="shared" ref="S18" si="8">SUM(S19:T20)</f>
        <v>14330.84</v>
      </c>
      <c r="T18" s="405"/>
      <c r="U18" s="407">
        <f t="shared" si="2"/>
        <v>175.95359910223496</v>
      </c>
      <c r="V18" s="445"/>
      <c r="W18" s="407">
        <f t="shared" si="3"/>
        <v>66.18714206539812</v>
      </c>
      <c r="X18" s="412"/>
      <c r="Z18" s="345"/>
    </row>
    <row r="19" spans="1:26" s="14" customFormat="1" x14ac:dyDescent="0.2">
      <c r="A19" s="442" t="s">
        <v>99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0">
        <v>7988.59</v>
      </c>
      <c r="N19" s="431"/>
      <c r="O19" s="430">
        <v>16560</v>
      </c>
      <c r="P19" s="431"/>
      <c r="Q19" s="430">
        <v>16560</v>
      </c>
      <c r="R19" s="431"/>
      <c r="S19" s="430">
        <v>14330.84</v>
      </c>
      <c r="T19" s="431"/>
      <c r="U19" s="432">
        <f t="shared" si="2"/>
        <v>179.39135692281116</v>
      </c>
      <c r="V19" s="433"/>
      <c r="W19" s="432">
        <f t="shared" si="3"/>
        <v>86.538888888888891</v>
      </c>
      <c r="X19" s="434"/>
      <c r="Z19" s="325"/>
    </row>
    <row r="20" spans="1:26" s="135" customFormat="1" x14ac:dyDescent="0.2">
      <c r="A20" s="442" t="s">
        <v>269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0">
        <v>156.08000000000001</v>
      </c>
      <c r="N20" s="431"/>
      <c r="O20" s="430">
        <v>5092</v>
      </c>
      <c r="P20" s="431"/>
      <c r="Q20" s="430">
        <v>5092</v>
      </c>
      <c r="R20" s="431"/>
      <c r="S20" s="430"/>
      <c r="T20" s="431"/>
      <c r="U20" s="432">
        <f t="shared" ref="U20" si="9">S20/M20*100</f>
        <v>0</v>
      </c>
      <c r="V20" s="433"/>
      <c r="W20" s="432">
        <f t="shared" si="3"/>
        <v>0</v>
      </c>
      <c r="X20" s="434"/>
      <c r="Z20" s="326"/>
    </row>
    <row r="21" spans="1:26" s="136" customFormat="1" x14ac:dyDescent="0.2">
      <c r="A21" s="404" t="s">
        <v>100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6">
        <f>SUM(M22:N23)</f>
        <v>72871.600000000006</v>
      </c>
      <c r="N21" s="405"/>
      <c r="O21" s="406">
        <f t="shared" ref="O21" si="10">SUM(O22:P23)</f>
        <v>59628</v>
      </c>
      <c r="P21" s="405"/>
      <c r="Q21" s="406">
        <f t="shared" ref="Q21" si="11">SUM(Q22:R23)</f>
        <v>59628</v>
      </c>
      <c r="R21" s="405"/>
      <c r="S21" s="406">
        <f t="shared" ref="S21" si="12">SUM(S22:T23)</f>
        <v>42253.84</v>
      </c>
      <c r="T21" s="405"/>
      <c r="U21" s="407">
        <f t="shared" si="2"/>
        <v>57.983960829733384</v>
      </c>
      <c r="V21" s="445"/>
      <c r="W21" s="407">
        <f t="shared" si="3"/>
        <v>70.862413631179976</v>
      </c>
      <c r="X21" s="412"/>
      <c r="Z21" s="345"/>
    </row>
    <row r="22" spans="1:26" s="14" customFormat="1" x14ac:dyDescent="0.2">
      <c r="A22" s="442" t="s">
        <v>101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0">
        <v>53092.01</v>
      </c>
      <c r="N22" s="431"/>
      <c r="O22" s="430">
        <v>37980</v>
      </c>
      <c r="P22" s="431"/>
      <c r="Q22" s="430">
        <v>37980</v>
      </c>
      <c r="R22" s="431"/>
      <c r="S22" s="430">
        <v>42253.84</v>
      </c>
      <c r="T22" s="431"/>
      <c r="U22" s="432">
        <f t="shared" si="2"/>
        <v>79.586062008200471</v>
      </c>
      <c r="V22" s="433"/>
      <c r="W22" s="432">
        <f t="shared" si="3"/>
        <v>111.2528699315429</v>
      </c>
      <c r="X22" s="434"/>
      <c r="Z22" s="325"/>
    </row>
    <row r="23" spans="1:26" s="135" customFormat="1" x14ac:dyDescent="0.2">
      <c r="A23" s="442" t="s">
        <v>272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0">
        <v>19779.59</v>
      </c>
      <c r="N23" s="431"/>
      <c r="O23" s="430">
        <v>21648</v>
      </c>
      <c r="P23" s="431"/>
      <c r="Q23" s="430">
        <v>21648</v>
      </c>
      <c r="R23" s="431"/>
      <c r="S23" s="430"/>
      <c r="T23" s="431"/>
      <c r="U23" s="432"/>
      <c r="V23" s="433"/>
      <c r="W23" s="432">
        <f t="shared" ref="W23" si="13">S23/Q23*100</f>
        <v>0</v>
      </c>
      <c r="X23" s="434"/>
      <c r="Z23" s="325"/>
    </row>
    <row r="24" spans="1:26" s="136" customFormat="1" x14ac:dyDescent="0.2">
      <c r="A24" s="404" t="s">
        <v>102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6">
        <f>SUM(M25:N26)</f>
        <v>1217734.68</v>
      </c>
      <c r="N24" s="405"/>
      <c r="O24" s="406">
        <f t="shared" ref="O24" si="14">SUM(O25:P26)</f>
        <v>1513075</v>
      </c>
      <c r="P24" s="405"/>
      <c r="Q24" s="406">
        <f t="shared" ref="Q24" si="15">SUM(Q25:R26)</f>
        <v>1513075</v>
      </c>
      <c r="R24" s="405"/>
      <c r="S24" s="406">
        <f t="shared" ref="S24" si="16">SUM(S25:T26)</f>
        <v>1454933.29</v>
      </c>
      <c r="T24" s="405"/>
      <c r="U24" s="407">
        <f t="shared" si="2"/>
        <v>119.47867740779134</v>
      </c>
      <c r="V24" s="445"/>
      <c r="W24" s="407">
        <f t="shared" si="3"/>
        <v>96.15738083042811</v>
      </c>
      <c r="X24" s="412"/>
      <c r="Z24" s="345"/>
    </row>
    <row r="25" spans="1:26" s="14" customFormat="1" x14ac:dyDescent="0.2">
      <c r="A25" s="442" t="s">
        <v>103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0">
        <v>1205595.44</v>
      </c>
      <c r="N25" s="431"/>
      <c r="O25" s="430">
        <v>1510859</v>
      </c>
      <c r="P25" s="431"/>
      <c r="Q25" s="430">
        <v>1510859</v>
      </c>
      <c r="R25" s="431"/>
      <c r="S25" s="430">
        <v>1454933.29</v>
      </c>
      <c r="T25" s="431"/>
      <c r="U25" s="432">
        <f t="shared" si="2"/>
        <v>120.68171807285538</v>
      </c>
      <c r="V25" s="433"/>
      <c r="W25" s="432">
        <f t="shared" si="3"/>
        <v>96.298416331371754</v>
      </c>
      <c r="X25" s="434"/>
      <c r="Z25" s="325"/>
    </row>
    <row r="26" spans="1:26" s="135" customFormat="1" x14ac:dyDescent="0.2">
      <c r="A26" s="442" t="s">
        <v>110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0">
        <v>12139.24</v>
      </c>
      <c r="N26" s="431"/>
      <c r="O26" s="430">
        <v>2216</v>
      </c>
      <c r="P26" s="431"/>
      <c r="Q26" s="430">
        <v>2216</v>
      </c>
      <c r="R26" s="431"/>
      <c r="S26" s="430"/>
      <c r="T26" s="431"/>
      <c r="U26" s="432"/>
      <c r="V26" s="433"/>
      <c r="W26" s="432">
        <f t="shared" ref="W26" si="17">S26/Q26*100</f>
        <v>0</v>
      </c>
      <c r="X26" s="434"/>
      <c r="Z26" s="325"/>
    </row>
    <row r="27" spans="1:26" s="136" customFormat="1" x14ac:dyDescent="0.2">
      <c r="A27" s="404" t="s">
        <v>104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6">
        <f>SUM(M28:N29)</f>
        <v>451.31</v>
      </c>
      <c r="N27" s="405"/>
      <c r="O27" s="406">
        <f t="shared" ref="O27" si="18">SUM(O28:P29)</f>
        <v>1861</v>
      </c>
      <c r="P27" s="405"/>
      <c r="Q27" s="406">
        <f t="shared" ref="Q27" si="19">SUM(Q28:R29)</f>
        <v>1861</v>
      </c>
      <c r="R27" s="405"/>
      <c r="S27" s="406">
        <f t="shared" ref="S27" si="20">SUM(S28:T29)</f>
        <v>1389.44</v>
      </c>
      <c r="T27" s="405"/>
      <c r="U27" s="407">
        <f t="shared" ref="U27" si="21">S27/M27*100</f>
        <v>307.86820588952162</v>
      </c>
      <c r="V27" s="445"/>
      <c r="W27" s="407">
        <f t="shared" si="3"/>
        <v>74.660934981192909</v>
      </c>
      <c r="X27" s="412"/>
      <c r="Z27" s="345"/>
    </row>
    <row r="28" spans="1:26" s="14" customFormat="1" x14ac:dyDescent="0.2">
      <c r="A28" s="442" t="s">
        <v>105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0">
        <v>451.26</v>
      </c>
      <c r="N28" s="431"/>
      <c r="O28" s="430">
        <v>1860</v>
      </c>
      <c r="P28" s="431"/>
      <c r="Q28" s="430">
        <v>1860</v>
      </c>
      <c r="R28" s="431"/>
      <c r="S28" s="430">
        <v>1389.44</v>
      </c>
      <c r="T28" s="431"/>
      <c r="U28" s="432">
        <f t="shared" ref="U28" si="22">S28/M28*100</f>
        <v>307.90231795417282</v>
      </c>
      <c r="V28" s="433"/>
      <c r="W28" s="432">
        <f t="shared" si="3"/>
        <v>74.701075268817206</v>
      </c>
      <c r="X28" s="434"/>
      <c r="Z28" s="325"/>
    </row>
    <row r="29" spans="1:26" s="135" customFormat="1" x14ac:dyDescent="0.2">
      <c r="A29" s="442" t="s">
        <v>334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0">
        <v>0.05</v>
      </c>
      <c r="N29" s="431"/>
      <c r="O29" s="430">
        <v>1</v>
      </c>
      <c r="P29" s="431"/>
      <c r="Q29" s="430">
        <v>1</v>
      </c>
      <c r="R29" s="431"/>
      <c r="S29" s="430"/>
      <c r="T29" s="431"/>
      <c r="U29" s="432">
        <f t="shared" ref="U29" si="23">S29/M29*100</f>
        <v>0</v>
      </c>
      <c r="V29" s="433"/>
      <c r="W29" s="432">
        <f t="shared" ref="W29:W31" si="24">S29/Q29*100</f>
        <v>0</v>
      </c>
      <c r="X29" s="434"/>
      <c r="Z29" s="325"/>
    </row>
    <row r="30" spans="1:26" s="136" customFormat="1" x14ac:dyDescent="0.2">
      <c r="A30" s="404" t="s">
        <v>106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6">
        <f>SUM(M31:N31)</f>
        <v>384.9</v>
      </c>
      <c r="N30" s="405"/>
      <c r="O30" s="406">
        <f>SUM(O31:P31)</f>
        <v>0</v>
      </c>
      <c r="P30" s="405"/>
      <c r="Q30" s="406">
        <f>SUM(Q31:R31)</f>
        <v>0</v>
      </c>
      <c r="R30" s="405"/>
      <c r="S30" s="406">
        <f>SUM(S31:T31)</f>
        <v>0</v>
      </c>
      <c r="T30" s="405"/>
      <c r="U30" s="407"/>
      <c r="V30" s="445"/>
      <c r="W30" s="407" t="e">
        <f t="shared" si="24"/>
        <v>#DIV/0!</v>
      </c>
      <c r="X30" s="412"/>
      <c r="Z30" s="345"/>
    </row>
    <row r="31" spans="1:26" s="14" customFormat="1" ht="13.5" thickBot="1" x14ac:dyDescent="0.25">
      <c r="A31" s="442" t="s">
        <v>108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0">
        <v>384.9</v>
      </c>
      <c r="N31" s="431"/>
      <c r="O31" s="430">
        <v>0</v>
      </c>
      <c r="P31" s="431"/>
      <c r="Q31" s="430">
        <v>0</v>
      </c>
      <c r="R31" s="431"/>
      <c r="S31" s="430">
        <v>0</v>
      </c>
      <c r="T31" s="431"/>
      <c r="U31" s="432"/>
      <c r="V31" s="433"/>
      <c r="W31" s="432" t="e">
        <f t="shared" si="24"/>
        <v>#DIV/0!</v>
      </c>
      <c r="X31" s="434"/>
      <c r="Z31" s="325"/>
    </row>
    <row r="32" spans="1:26" s="141" customFormat="1" ht="13.5" thickBot="1" x14ac:dyDescent="0.25">
      <c r="A32" s="435" t="s">
        <v>266</v>
      </c>
      <c r="B32" s="437"/>
      <c r="C32" s="437"/>
      <c r="D32" s="437"/>
      <c r="E32" s="437"/>
      <c r="F32" s="437"/>
      <c r="G32" s="437"/>
      <c r="H32" s="437"/>
      <c r="I32" s="437"/>
      <c r="J32" s="142"/>
      <c r="K32" s="142"/>
      <c r="L32" s="142"/>
      <c r="M32" s="443">
        <f>M14+M18+M21+M24+M27+M30</f>
        <v>1530045.73</v>
      </c>
      <c r="N32" s="443"/>
      <c r="O32" s="443">
        <f>O14+O18+O21+O24+O27+O30</f>
        <v>1834346</v>
      </c>
      <c r="P32" s="443"/>
      <c r="Q32" s="443">
        <f>Q14+Q18+Q21+Q24+Q27+Q30</f>
        <v>1834346</v>
      </c>
      <c r="R32" s="443"/>
      <c r="S32" s="443">
        <f>S14+S18+S21+S24+S27+S30</f>
        <v>1740426.91</v>
      </c>
      <c r="T32" s="443"/>
      <c r="U32" s="440">
        <f t="shared" si="2"/>
        <v>113.74999294955713</v>
      </c>
      <c r="V32" s="440"/>
      <c r="W32" s="440">
        <f t="shared" si="3"/>
        <v>94.87996866458127</v>
      </c>
      <c r="X32" s="444"/>
      <c r="Z32" s="346"/>
    </row>
    <row r="33" spans="1:26" s="136" customFormat="1" ht="24.75" customHeight="1" thickBot="1" x14ac:dyDescent="0.25">
      <c r="A33" s="190"/>
      <c r="B33" s="190"/>
      <c r="C33" s="190"/>
      <c r="D33" s="190"/>
      <c r="E33" s="190"/>
      <c r="F33" s="190"/>
      <c r="G33" s="190"/>
      <c r="H33" s="190"/>
      <c r="I33" s="190"/>
      <c r="J33" s="191"/>
      <c r="K33" s="191"/>
      <c r="L33" s="191"/>
      <c r="M33" s="192"/>
      <c r="N33" s="192"/>
      <c r="O33" s="192"/>
      <c r="P33" s="192"/>
      <c r="Q33" s="192"/>
      <c r="R33" s="192"/>
      <c r="S33" s="192"/>
      <c r="T33" s="192"/>
      <c r="U33" s="193"/>
      <c r="V33" s="193"/>
      <c r="W33" s="193"/>
      <c r="X33" s="193"/>
      <c r="Z33" s="345"/>
    </row>
    <row r="34" spans="1:26" s="141" customFormat="1" ht="13.5" thickBot="1" x14ac:dyDescent="0.25">
      <c r="A34" s="435" t="s">
        <v>271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7" t="s">
        <v>0</v>
      </c>
      <c r="N34" s="436"/>
      <c r="O34" s="437" t="s">
        <v>0</v>
      </c>
      <c r="P34" s="436"/>
      <c r="Q34" s="437" t="s">
        <v>0</v>
      </c>
      <c r="R34" s="436"/>
      <c r="S34" s="437" t="s">
        <v>0</v>
      </c>
      <c r="T34" s="436"/>
      <c r="U34" s="438"/>
      <c r="V34" s="439"/>
      <c r="W34" s="440"/>
      <c r="X34" s="441"/>
      <c r="Z34" s="346"/>
    </row>
    <row r="35" spans="1:26" s="136" customFormat="1" x14ac:dyDescent="0.2">
      <c r="A35" s="427" t="s">
        <v>95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9">
        <f>SUM(M36:N37)</f>
        <v>235828.81</v>
      </c>
      <c r="N35" s="428"/>
      <c r="O35" s="429">
        <f>SUM(O36:P37)</f>
        <v>238130</v>
      </c>
      <c r="P35" s="428"/>
      <c r="Q35" s="429">
        <f>SUM(Q36:R37)</f>
        <v>238130</v>
      </c>
      <c r="R35" s="428"/>
      <c r="S35" s="429">
        <f>SUM(S36:T37)</f>
        <v>236361.41999999998</v>
      </c>
      <c r="T35" s="428"/>
      <c r="U35" s="424">
        <f t="shared" si="2"/>
        <v>100.22584602788775</v>
      </c>
      <c r="V35" s="425"/>
      <c r="W35" s="424">
        <f t="shared" si="3"/>
        <v>99.257304833494302</v>
      </c>
      <c r="X35" s="426"/>
      <c r="Z35" s="345"/>
    </row>
    <row r="36" spans="1:26" s="128" customFormat="1" x14ac:dyDescent="0.2">
      <c r="A36" s="398" t="s">
        <v>96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400">
        <v>88015.42</v>
      </c>
      <c r="N36" s="399"/>
      <c r="O36" s="400">
        <v>108720</v>
      </c>
      <c r="P36" s="399"/>
      <c r="Q36" s="400">
        <v>108720</v>
      </c>
      <c r="R36" s="399"/>
      <c r="S36" s="400">
        <v>106952.74</v>
      </c>
      <c r="T36" s="399"/>
      <c r="U36" s="401">
        <f t="shared" si="2"/>
        <v>121.51591164366427</v>
      </c>
      <c r="V36" s="402"/>
      <c r="W36" s="401">
        <f t="shared" si="3"/>
        <v>98.374484915378957</v>
      </c>
      <c r="X36" s="403"/>
      <c r="Z36" s="326"/>
    </row>
    <row r="37" spans="1:26" s="128" customFormat="1" x14ac:dyDescent="0.2">
      <c r="A37" s="418" t="s">
        <v>97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20">
        <v>147813.39000000001</v>
      </c>
      <c r="N37" s="419"/>
      <c r="O37" s="420">
        <v>129410</v>
      </c>
      <c r="P37" s="419"/>
      <c r="Q37" s="420">
        <v>129410</v>
      </c>
      <c r="R37" s="419"/>
      <c r="S37" s="420">
        <v>129408.68</v>
      </c>
      <c r="T37" s="419"/>
      <c r="U37" s="421">
        <f t="shared" si="2"/>
        <v>87.54868554195258</v>
      </c>
      <c r="V37" s="422"/>
      <c r="W37" s="421">
        <f t="shared" si="3"/>
        <v>99.998979986090717</v>
      </c>
      <c r="X37" s="423"/>
      <c r="Z37" s="326"/>
    </row>
    <row r="38" spans="1:26" s="137" customFormat="1" x14ac:dyDescent="0.2">
      <c r="A38" s="404" t="s">
        <v>98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6">
        <f>SUM(M39:N40)</f>
        <v>3437.95</v>
      </c>
      <c r="N38" s="405"/>
      <c r="O38" s="406">
        <f>SUM(O39:P40)</f>
        <v>21652</v>
      </c>
      <c r="P38" s="405"/>
      <c r="Q38" s="406">
        <f>SUM(Q39:R40)</f>
        <v>21652</v>
      </c>
      <c r="R38" s="405"/>
      <c r="S38" s="406">
        <f>SUM(S39:T40)</f>
        <v>9489.15</v>
      </c>
      <c r="T38" s="405"/>
      <c r="U38" s="407">
        <f t="shared" ref="U38:U48" si="25">S38/M38*100</f>
        <v>276.01186753734055</v>
      </c>
      <c r="V38" s="408"/>
      <c r="W38" s="407">
        <f t="shared" si="3"/>
        <v>43.825743580269723</v>
      </c>
      <c r="X38" s="412"/>
      <c r="Z38" s="347"/>
    </row>
    <row r="39" spans="1:26" s="128" customFormat="1" x14ac:dyDescent="0.2">
      <c r="A39" s="398" t="s">
        <v>99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0">
        <v>3437.95</v>
      </c>
      <c r="N39" s="399"/>
      <c r="O39" s="400">
        <f>13900+2660</f>
        <v>16560</v>
      </c>
      <c r="P39" s="399"/>
      <c r="Q39" s="400">
        <f>13900+2660</f>
        <v>16560</v>
      </c>
      <c r="R39" s="399"/>
      <c r="S39" s="400">
        <v>9460.15</v>
      </c>
      <c r="T39" s="399"/>
      <c r="U39" s="401">
        <f t="shared" si="25"/>
        <v>275.16834159891795</v>
      </c>
      <c r="V39" s="402"/>
      <c r="W39" s="401">
        <f t="shared" si="3"/>
        <v>57.126509661835748</v>
      </c>
      <c r="X39" s="403"/>
      <c r="Z39" s="326"/>
    </row>
    <row r="40" spans="1:26" s="128" customFormat="1" x14ac:dyDescent="0.2">
      <c r="A40" s="416" t="s">
        <v>269</v>
      </c>
      <c r="B40" s="417"/>
      <c r="C40" s="417"/>
      <c r="D40" s="417"/>
      <c r="E40" s="417"/>
      <c r="F40" s="417"/>
      <c r="G40" s="417"/>
      <c r="H40" s="417"/>
      <c r="I40" s="417"/>
      <c r="J40" s="143"/>
      <c r="K40" s="143"/>
      <c r="L40" s="143"/>
      <c r="M40" s="411">
        <v>0</v>
      </c>
      <c r="N40" s="411"/>
      <c r="O40" s="411">
        <f>4707+385</f>
        <v>5092</v>
      </c>
      <c r="P40" s="411"/>
      <c r="Q40" s="411">
        <f>4707+385</f>
        <v>5092</v>
      </c>
      <c r="R40" s="411"/>
      <c r="S40" s="411">
        <v>29</v>
      </c>
      <c r="T40" s="411"/>
      <c r="U40" s="389" t="e">
        <f t="shared" ref="U40" si="26">S40/M40*100</f>
        <v>#DIV/0!</v>
      </c>
      <c r="V40" s="390"/>
      <c r="W40" s="389">
        <f t="shared" si="3"/>
        <v>0.56952081696779266</v>
      </c>
      <c r="X40" s="391"/>
      <c r="Z40" s="326"/>
    </row>
    <row r="41" spans="1:26" s="137" customFormat="1" x14ac:dyDescent="0.2">
      <c r="A41" s="404" t="s">
        <v>100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6">
        <f>SUM(M42:N43)</f>
        <v>51223.72</v>
      </c>
      <c r="N41" s="405"/>
      <c r="O41" s="406">
        <f>SUM(O42:P43)</f>
        <v>59628</v>
      </c>
      <c r="P41" s="405"/>
      <c r="Q41" s="406">
        <f>SUM(Q42:R43)</f>
        <v>59628</v>
      </c>
      <c r="R41" s="405"/>
      <c r="S41" s="406">
        <f>SUM(S42:T43)</f>
        <v>30272.640000000003</v>
      </c>
      <c r="T41" s="405"/>
      <c r="U41" s="407">
        <f t="shared" si="25"/>
        <v>59.098870601354228</v>
      </c>
      <c r="V41" s="408"/>
      <c r="W41" s="407">
        <f t="shared" si="3"/>
        <v>50.769168846850476</v>
      </c>
      <c r="X41" s="412"/>
      <c r="Z41" s="347"/>
    </row>
    <row r="42" spans="1:26" s="128" customFormat="1" x14ac:dyDescent="0.2">
      <c r="A42" s="398" t="s">
        <v>101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400">
        <v>47213.72</v>
      </c>
      <c r="N42" s="399"/>
      <c r="O42" s="400">
        <f>37720+260</f>
        <v>37980</v>
      </c>
      <c r="P42" s="399"/>
      <c r="Q42" s="400">
        <f>37720+260</f>
        <v>37980</v>
      </c>
      <c r="R42" s="399"/>
      <c r="S42" s="400">
        <v>27554.99</v>
      </c>
      <c r="T42" s="399"/>
      <c r="U42" s="401">
        <f t="shared" si="25"/>
        <v>58.362251481137264</v>
      </c>
      <c r="V42" s="402"/>
      <c r="W42" s="401">
        <f t="shared" si="3"/>
        <v>72.551316482359141</v>
      </c>
      <c r="X42" s="403"/>
      <c r="Z42" s="326"/>
    </row>
    <row r="43" spans="1:26" s="128" customFormat="1" x14ac:dyDescent="0.2">
      <c r="A43" s="409" t="s">
        <v>109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1">
        <v>4010</v>
      </c>
      <c r="N43" s="410"/>
      <c r="O43" s="411">
        <f>12647+9001</f>
        <v>21648</v>
      </c>
      <c r="P43" s="410"/>
      <c r="Q43" s="411">
        <f>12647+9001</f>
        <v>21648</v>
      </c>
      <c r="R43" s="410"/>
      <c r="S43" s="411">
        <f>865.4+1852.25</f>
        <v>2717.65</v>
      </c>
      <c r="T43" s="410"/>
      <c r="U43" s="413">
        <f t="shared" si="25"/>
        <v>67.771820448877804</v>
      </c>
      <c r="V43" s="414"/>
      <c r="W43" s="413">
        <f t="shared" si="3"/>
        <v>12.553815594974132</v>
      </c>
      <c r="X43" s="415"/>
      <c r="Z43" s="326"/>
    </row>
    <row r="44" spans="1:26" s="137" customFormat="1" x14ac:dyDescent="0.2">
      <c r="A44" s="404" t="s">
        <v>102</v>
      </c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6">
        <f>SUM(M45:N46)</f>
        <v>1233129.0699999998</v>
      </c>
      <c r="N44" s="405"/>
      <c r="O44" s="406">
        <f>SUM(O45:P46)</f>
        <v>1513075</v>
      </c>
      <c r="P44" s="405"/>
      <c r="Q44" s="406">
        <f>SUM(Q45:R46)</f>
        <v>1513075</v>
      </c>
      <c r="R44" s="405"/>
      <c r="S44" s="406">
        <f>SUM(S45:T46)</f>
        <v>1445148.67</v>
      </c>
      <c r="T44" s="405"/>
      <c r="U44" s="407">
        <f t="shared" si="25"/>
        <v>117.19362596812353</v>
      </c>
      <c r="V44" s="408"/>
      <c r="W44" s="407">
        <f t="shared" si="3"/>
        <v>95.510709647571986</v>
      </c>
      <c r="X44" s="412"/>
      <c r="Z44" s="347"/>
    </row>
    <row r="45" spans="1:26" s="128" customFormat="1" x14ac:dyDescent="0.2">
      <c r="A45" s="398" t="s">
        <v>103</v>
      </c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400">
        <v>1210428.18</v>
      </c>
      <c r="N45" s="399"/>
      <c r="O45" s="400">
        <f>35144+1449635+1830+6640</f>
        <v>1493249</v>
      </c>
      <c r="P45" s="399"/>
      <c r="Q45" s="400">
        <f>35144+1449635+1830+6640</f>
        <v>1493249</v>
      </c>
      <c r="R45" s="399"/>
      <c r="S45" s="400">
        <f>18750.74+1419653.25+3732.5+796.66</f>
        <v>1442933.15</v>
      </c>
      <c r="T45" s="399"/>
      <c r="U45" s="401">
        <f t="shared" si="25"/>
        <v>119.20848951153798</v>
      </c>
      <c r="V45" s="402"/>
      <c r="W45" s="401">
        <f t="shared" si="3"/>
        <v>96.630444755027455</v>
      </c>
      <c r="X45" s="403"/>
      <c r="Z45" s="326"/>
    </row>
    <row r="46" spans="1:26" s="128" customFormat="1" x14ac:dyDescent="0.2">
      <c r="A46" s="409" t="s">
        <v>110</v>
      </c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1">
        <v>22700.89</v>
      </c>
      <c r="N46" s="410"/>
      <c r="O46" s="411">
        <f>2216+17610</f>
        <v>19826</v>
      </c>
      <c r="P46" s="410"/>
      <c r="Q46" s="411">
        <f>2216+17610</f>
        <v>19826</v>
      </c>
      <c r="R46" s="410"/>
      <c r="S46" s="411">
        <f>2215.52</f>
        <v>2215.52</v>
      </c>
      <c r="T46" s="410"/>
      <c r="U46" s="413">
        <f t="shared" si="25"/>
        <v>9.7596173542094622</v>
      </c>
      <c r="V46" s="414"/>
      <c r="W46" s="413">
        <f t="shared" si="3"/>
        <v>11.174820942197115</v>
      </c>
      <c r="X46" s="415"/>
      <c r="Z46" s="326"/>
    </row>
    <row r="47" spans="1:26" s="137" customFormat="1" x14ac:dyDescent="0.2">
      <c r="A47" s="404" t="s">
        <v>104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6">
        <f>SUM(M48:N49)</f>
        <v>451.26</v>
      </c>
      <c r="N47" s="405"/>
      <c r="O47" s="406">
        <f>SUM(O48:P49)</f>
        <v>1861</v>
      </c>
      <c r="P47" s="405"/>
      <c r="Q47" s="406">
        <f>SUM(Q48:R49)</f>
        <v>1861</v>
      </c>
      <c r="R47" s="405"/>
      <c r="S47" s="406">
        <f>SUM(S48:T49)</f>
        <v>1114.68</v>
      </c>
      <c r="T47" s="405"/>
      <c r="U47" s="407">
        <f t="shared" si="25"/>
        <v>247.01502459779286</v>
      </c>
      <c r="V47" s="408"/>
      <c r="W47" s="407">
        <f t="shared" si="3"/>
        <v>59.896829661472331</v>
      </c>
      <c r="X47" s="412"/>
      <c r="Z47" s="347"/>
    </row>
    <row r="48" spans="1:26" s="128" customFormat="1" x14ac:dyDescent="0.2">
      <c r="A48" s="398" t="s">
        <v>105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400">
        <v>451.26</v>
      </c>
      <c r="N48" s="399"/>
      <c r="O48" s="400">
        <v>1860</v>
      </c>
      <c r="P48" s="399"/>
      <c r="Q48" s="400">
        <v>1860</v>
      </c>
      <c r="R48" s="399"/>
      <c r="S48" s="400">
        <v>1114.68</v>
      </c>
      <c r="T48" s="399"/>
      <c r="U48" s="401">
        <f t="shared" si="25"/>
        <v>247.01502459779286</v>
      </c>
      <c r="V48" s="402"/>
      <c r="W48" s="401">
        <f t="shared" si="3"/>
        <v>59.929032258064517</v>
      </c>
      <c r="X48" s="403"/>
      <c r="Z48" s="326"/>
    </row>
    <row r="49" spans="1:26" s="128" customFormat="1" x14ac:dyDescent="0.2">
      <c r="A49" s="409" t="s">
        <v>111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1">
        <v>0</v>
      </c>
      <c r="N49" s="410"/>
      <c r="O49" s="411">
        <v>1</v>
      </c>
      <c r="P49" s="410"/>
      <c r="Q49" s="411">
        <v>1</v>
      </c>
      <c r="R49" s="410"/>
      <c r="S49" s="411">
        <v>0</v>
      </c>
      <c r="T49" s="410"/>
      <c r="U49" s="413"/>
      <c r="V49" s="414"/>
      <c r="W49" s="413">
        <f t="shared" ref="W49" si="27">S49/Q49*100</f>
        <v>0</v>
      </c>
      <c r="X49" s="415"/>
      <c r="Z49" s="326"/>
    </row>
    <row r="50" spans="1:26" s="137" customFormat="1" x14ac:dyDescent="0.2">
      <c r="A50" s="404" t="s">
        <v>106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6">
        <f>SUM(M51:N52)</f>
        <v>0</v>
      </c>
      <c r="N50" s="405"/>
      <c r="O50" s="406">
        <f>SUM(O51:P52)</f>
        <v>0</v>
      </c>
      <c r="P50" s="405"/>
      <c r="Q50" s="406">
        <f>SUM(Q51:R52)</f>
        <v>0</v>
      </c>
      <c r="R50" s="405"/>
      <c r="S50" s="406">
        <f>SUM(S51:T52)</f>
        <v>0</v>
      </c>
      <c r="T50" s="405"/>
      <c r="U50" s="407"/>
      <c r="V50" s="408"/>
      <c r="W50" s="407"/>
      <c r="X50" s="412"/>
      <c r="Z50" s="347"/>
    </row>
    <row r="51" spans="1:26" s="128" customFormat="1" x14ac:dyDescent="0.2">
      <c r="A51" s="398" t="s">
        <v>107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400">
        <v>0</v>
      </c>
      <c r="N51" s="399"/>
      <c r="O51" s="400"/>
      <c r="P51" s="399"/>
      <c r="Q51" s="400"/>
      <c r="R51" s="399"/>
      <c r="S51" s="400"/>
      <c r="T51" s="399"/>
      <c r="U51" s="401"/>
      <c r="V51" s="402"/>
      <c r="W51" s="401"/>
      <c r="X51" s="403"/>
      <c r="Z51" s="326"/>
    </row>
    <row r="52" spans="1:26" s="128" customFormat="1" ht="13.5" thickBot="1" x14ac:dyDescent="0.25">
      <c r="A52" s="392" t="s">
        <v>108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4">
        <v>0</v>
      </c>
      <c r="N52" s="393"/>
      <c r="O52" s="394"/>
      <c r="P52" s="393"/>
      <c r="Q52" s="394"/>
      <c r="R52" s="393"/>
      <c r="S52" s="394"/>
      <c r="T52" s="393"/>
      <c r="U52" s="395"/>
      <c r="V52" s="396"/>
      <c r="W52" s="395"/>
      <c r="X52" s="397"/>
      <c r="Z52" s="326"/>
    </row>
    <row r="53" spans="1:26" s="231" customFormat="1" ht="13.5" thickBot="1" x14ac:dyDescent="0.25">
      <c r="A53" s="384" t="s">
        <v>267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6">
        <f>M35+M38+M41+M44+M47+M50</f>
        <v>1524070.8099999998</v>
      </c>
      <c r="N53" s="387"/>
      <c r="O53" s="386">
        <f>O35+O38+O41+O44+O47+O50</f>
        <v>1834346</v>
      </c>
      <c r="P53" s="387"/>
      <c r="Q53" s="386">
        <f>Q35+Q38+Q41+Q44+Q47+Q50</f>
        <v>1834346</v>
      </c>
      <c r="R53" s="387"/>
      <c r="S53" s="386">
        <f>S35+S38+S41+S44+S47+S50</f>
        <v>1722386.5599999998</v>
      </c>
      <c r="T53" s="387"/>
      <c r="U53" s="382">
        <f t="shared" si="2"/>
        <v>113.01223989717381</v>
      </c>
      <c r="V53" s="388"/>
      <c r="W53" s="382">
        <f t="shared" si="3"/>
        <v>93.896492809971505</v>
      </c>
      <c r="X53" s="383"/>
      <c r="Z53" s="348"/>
    </row>
    <row r="54" spans="1:26" s="129" customFormat="1" ht="13.5" thickTop="1" x14ac:dyDescent="0.2">
      <c r="O54" s="65"/>
      <c r="P54" s="65"/>
      <c r="U54" s="65"/>
      <c r="V54" s="65"/>
      <c r="W54" s="65"/>
      <c r="X54" s="65"/>
      <c r="Z54" s="349"/>
    </row>
    <row r="55" spans="1:26" x14ac:dyDescent="0.2">
      <c r="U55" s="65"/>
      <c r="V55" s="65"/>
      <c r="W55" s="65"/>
      <c r="X55" s="65"/>
    </row>
    <row r="56" spans="1:26" x14ac:dyDescent="0.2">
      <c r="U56" s="65"/>
      <c r="V56" s="65"/>
      <c r="W56" s="65"/>
      <c r="X56" s="65"/>
    </row>
  </sheetData>
  <mergeCells count="300">
    <mergeCell ref="W15:X15"/>
    <mergeCell ref="U15:V15"/>
    <mergeCell ref="S15:T15"/>
    <mergeCell ref="Q15:R15"/>
    <mergeCell ref="O15:P15"/>
    <mergeCell ref="M15:N15"/>
    <mergeCell ref="A15:L15"/>
    <mergeCell ref="A16:L16"/>
    <mergeCell ref="M16:N16"/>
    <mergeCell ref="O16:P16"/>
    <mergeCell ref="Q16:R16"/>
    <mergeCell ref="S16:T16"/>
    <mergeCell ref="U16:V16"/>
    <mergeCell ref="W16:X16"/>
    <mergeCell ref="U18:V18"/>
    <mergeCell ref="W18:X18"/>
    <mergeCell ref="A18:L18"/>
    <mergeCell ref="M18:N18"/>
    <mergeCell ref="O18:P18"/>
    <mergeCell ref="Q18:R18"/>
    <mergeCell ref="S18:T18"/>
    <mergeCell ref="A17:L17"/>
    <mergeCell ref="M17:N17"/>
    <mergeCell ref="O17:P17"/>
    <mergeCell ref="Q17:R17"/>
    <mergeCell ref="S17:T17"/>
    <mergeCell ref="U17:V17"/>
    <mergeCell ref="W17:X17"/>
    <mergeCell ref="A7:X7"/>
    <mergeCell ref="A5:X5"/>
    <mergeCell ref="O11:P11"/>
    <mergeCell ref="Q11:R11"/>
    <mergeCell ref="S11:T11"/>
    <mergeCell ref="U11:V11"/>
    <mergeCell ref="A10:X10"/>
    <mergeCell ref="W11:X11"/>
    <mergeCell ref="A6:X6"/>
    <mergeCell ref="A8:X8"/>
    <mergeCell ref="A9:X9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U14:V14"/>
    <mergeCell ref="W14:X14"/>
    <mergeCell ref="A13:L13"/>
    <mergeCell ref="M13:N13"/>
    <mergeCell ref="O13:P13"/>
    <mergeCell ref="Q13:R13"/>
    <mergeCell ref="S13:T13"/>
    <mergeCell ref="U13:V13"/>
    <mergeCell ref="W13:X13"/>
    <mergeCell ref="A14:L14"/>
    <mergeCell ref="M14:N14"/>
    <mergeCell ref="O14:P14"/>
    <mergeCell ref="Q14:R14"/>
    <mergeCell ref="S14:T14"/>
    <mergeCell ref="Q19:R19"/>
    <mergeCell ref="S19:T19"/>
    <mergeCell ref="U19:V19"/>
    <mergeCell ref="W19:X19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A22:L22"/>
    <mergeCell ref="M22:N22"/>
    <mergeCell ref="O22:P22"/>
    <mergeCell ref="Q22:R22"/>
    <mergeCell ref="S22:T22"/>
    <mergeCell ref="U22:V22"/>
    <mergeCell ref="W22:X22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3:X23"/>
    <mergeCell ref="A25:L25"/>
    <mergeCell ref="M25:N25"/>
    <mergeCell ref="O25:P25"/>
    <mergeCell ref="Q25:R25"/>
    <mergeCell ref="S25:T25"/>
    <mergeCell ref="U25:V25"/>
    <mergeCell ref="W25:X25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6:X26"/>
    <mergeCell ref="A28:L28"/>
    <mergeCell ref="M28:N28"/>
    <mergeCell ref="O28:P28"/>
    <mergeCell ref="Q28:R28"/>
    <mergeCell ref="S28:T28"/>
    <mergeCell ref="U28:V28"/>
    <mergeCell ref="W28:X28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W29:X29"/>
    <mergeCell ref="O31:P31"/>
    <mergeCell ref="Q31:R31"/>
    <mergeCell ref="S31:T31"/>
    <mergeCell ref="U31:V31"/>
    <mergeCell ref="W30:X30"/>
    <mergeCell ref="W31:X31"/>
    <mergeCell ref="A34:L34"/>
    <mergeCell ref="M34:N34"/>
    <mergeCell ref="O34:P34"/>
    <mergeCell ref="Q34:R34"/>
    <mergeCell ref="S34:T34"/>
    <mergeCell ref="U34:V34"/>
    <mergeCell ref="W34:X34"/>
    <mergeCell ref="A31:L31"/>
    <mergeCell ref="M31:N31"/>
    <mergeCell ref="A32:I32"/>
    <mergeCell ref="M32:N32"/>
    <mergeCell ref="O32:P32"/>
    <mergeCell ref="Q32:R32"/>
    <mergeCell ref="S32:T32"/>
    <mergeCell ref="U32:V32"/>
    <mergeCell ref="W32:X32"/>
    <mergeCell ref="A36:L36"/>
    <mergeCell ref="M36:N36"/>
    <mergeCell ref="U35:V35"/>
    <mergeCell ref="W35:X35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W36:X36"/>
    <mergeCell ref="S38:T38"/>
    <mergeCell ref="U38:V38"/>
    <mergeCell ref="A37:L37"/>
    <mergeCell ref="M37:N37"/>
    <mergeCell ref="O37:P37"/>
    <mergeCell ref="Q37:R37"/>
    <mergeCell ref="S37:T37"/>
    <mergeCell ref="U37:V37"/>
    <mergeCell ref="W37:X37"/>
    <mergeCell ref="W38:X38"/>
    <mergeCell ref="A38:L38"/>
    <mergeCell ref="M38:N38"/>
    <mergeCell ref="O38:P38"/>
    <mergeCell ref="Q38:R38"/>
    <mergeCell ref="U39:V39"/>
    <mergeCell ref="W39:X39"/>
    <mergeCell ref="O41:P41"/>
    <mergeCell ref="Q41:R41"/>
    <mergeCell ref="S41:T41"/>
    <mergeCell ref="U41:V41"/>
    <mergeCell ref="A39:L39"/>
    <mergeCell ref="M39:N39"/>
    <mergeCell ref="O39:P39"/>
    <mergeCell ref="Q39:R39"/>
    <mergeCell ref="S39:T39"/>
    <mergeCell ref="W41:X41"/>
    <mergeCell ref="A40:I40"/>
    <mergeCell ref="M40:N40"/>
    <mergeCell ref="O40:P40"/>
    <mergeCell ref="Q40:R40"/>
    <mergeCell ref="S40:T40"/>
    <mergeCell ref="A41:L41"/>
    <mergeCell ref="M41:N41"/>
    <mergeCell ref="O42:P42"/>
    <mergeCell ref="Q42:R42"/>
    <mergeCell ref="S42:T42"/>
    <mergeCell ref="U42:V42"/>
    <mergeCell ref="W42:X42"/>
    <mergeCell ref="A42:L42"/>
    <mergeCell ref="M42:N42"/>
    <mergeCell ref="U44:V44"/>
    <mergeCell ref="W44:X44"/>
    <mergeCell ref="A43:L43"/>
    <mergeCell ref="M43:N43"/>
    <mergeCell ref="O43:P43"/>
    <mergeCell ref="Q43:R43"/>
    <mergeCell ref="S43:T43"/>
    <mergeCell ref="U43:V43"/>
    <mergeCell ref="W43:X43"/>
    <mergeCell ref="A44:L44"/>
    <mergeCell ref="M44:N44"/>
    <mergeCell ref="O44:P44"/>
    <mergeCell ref="Q44:R44"/>
    <mergeCell ref="S44:T44"/>
    <mergeCell ref="A45:L45"/>
    <mergeCell ref="M45:N45"/>
    <mergeCell ref="O45:P45"/>
    <mergeCell ref="Q45:R45"/>
    <mergeCell ref="S45:T45"/>
    <mergeCell ref="U45:V45"/>
    <mergeCell ref="W45:X45"/>
    <mergeCell ref="A46:L46"/>
    <mergeCell ref="M46:N46"/>
    <mergeCell ref="O46:P46"/>
    <mergeCell ref="Q46:R46"/>
    <mergeCell ref="S46:T46"/>
    <mergeCell ref="U46:V46"/>
    <mergeCell ref="W46:X46"/>
    <mergeCell ref="A47:L47"/>
    <mergeCell ref="M47:N47"/>
    <mergeCell ref="O47:P47"/>
    <mergeCell ref="Q47:R47"/>
    <mergeCell ref="S47:T47"/>
    <mergeCell ref="U47:V47"/>
    <mergeCell ref="W47:X47"/>
    <mergeCell ref="U49:V49"/>
    <mergeCell ref="W49:X49"/>
    <mergeCell ref="A48:L48"/>
    <mergeCell ref="M48:N48"/>
    <mergeCell ref="O48:P48"/>
    <mergeCell ref="Q48:R48"/>
    <mergeCell ref="S48:T48"/>
    <mergeCell ref="U48:V48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W50:X50"/>
    <mergeCell ref="W53:X53"/>
    <mergeCell ref="A53:L53"/>
    <mergeCell ref="M53:N53"/>
    <mergeCell ref="O53:P53"/>
    <mergeCell ref="Q53:R53"/>
    <mergeCell ref="S53:T53"/>
    <mergeCell ref="U53:V53"/>
    <mergeCell ref="U40:V40"/>
    <mergeCell ref="W40:X40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1:V51"/>
    <mergeCell ref="W51:X51"/>
    <mergeCell ref="A50:L50"/>
  </mergeCells>
  <pageMargins left="0.55118110236220474" right="0.55118110236220474" top="0.59055118110236227" bottom="0.39370078740157483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opLeftCell="A7" workbookViewId="0">
      <selection activeCell="C11" sqref="C11"/>
    </sheetView>
  </sheetViews>
  <sheetFormatPr defaultRowHeight="12.75" x14ac:dyDescent="0.2"/>
  <cols>
    <col min="1" max="1" width="71.7109375" style="139" customWidth="1"/>
    <col min="2" max="2" width="20" style="139" customWidth="1"/>
    <col min="3" max="3" width="19.85546875" style="139" customWidth="1"/>
    <col min="4" max="4" width="17.7109375" style="139" customWidth="1"/>
    <col min="5" max="5" width="17.28515625" style="139" customWidth="1"/>
    <col min="6" max="6" width="14.5703125" style="139" customWidth="1"/>
    <col min="7" max="7" width="12.140625" style="139" customWidth="1"/>
    <col min="8" max="8" width="9.140625" style="139"/>
    <col min="9" max="9" width="11.7109375" style="139" bestFit="1" customWidth="1"/>
    <col min="10" max="16384" width="9.140625" style="139"/>
  </cols>
  <sheetData>
    <row r="1" spans="1:23" x14ac:dyDescent="0.2">
      <c r="A1" s="139" t="s">
        <v>234</v>
      </c>
    </row>
    <row r="2" spans="1:23" x14ac:dyDescent="0.2">
      <c r="A2" s="139" t="s">
        <v>235</v>
      </c>
    </row>
    <row r="3" spans="1:23" x14ac:dyDescent="0.2">
      <c r="A3" s="139" t="s">
        <v>236</v>
      </c>
    </row>
    <row r="4" spans="1:23" x14ac:dyDescent="0.2">
      <c r="A4" s="139" t="s">
        <v>237</v>
      </c>
    </row>
    <row r="6" spans="1:23" s="1" customFormat="1" ht="31.9" customHeight="1" x14ac:dyDescent="0.25">
      <c r="A6" s="373" t="s">
        <v>364</v>
      </c>
      <c r="B6" s="373"/>
      <c r="C6" s="373"/>
      <c r="D6" s="373"/>
      <c r="E6" s="373"/>
      <c r="F6" s="373"/>
      <c r="G6" s="373"/>
    </row>
    <row r="7" spans="1:23" s="3" customFormat="1" ht="23.25" customHeight="1" x14ac:dyDescent="0.25">
      <c r="A7" s="373" t="s">
        <v>360</v>
      </c>
      <c r="B7" s="373"/>
      <c r="C7" s="373"/>
      <c r="D7" s="373"/>
      <c r="E7" s="373"/>
      <c r="F7" s="373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</row>
    <row r="8" spans="1:23" ht="23.25" customHeight="1" x14ac:dyDescent="0.2">
      <c r="A8" s="374" t="s">
        <v>365</v>
      </c>
      <c r="B8" s="375"/>
      <c r="C8" s="375"/>
      <c r="D8" s="375"/>
      <c r="E8" s="375"/>
      <c r="F8" s="37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1:23" x14ac:dyDescent="0.2">
      <c r="A9" s="376"/>
      <c r="B9" s="377"/>
      <c r="C9" s="377"/>
      <c r="D9" s="377"/>
      <c r="E9" s="377"/>
      <c r="F9" s="377"/>
    </row>
    <row r="10" spans="1:23" ht="13.5" thickBot="1" x14ac:dyDescent="0.25">
      <c r="A10" s="18"/>
    </row>
    <row r="11" spans="1:23" s="10" customFormat="1" ht="26.25" customHeight="1" thickTop="1" thickBot="1" x14ac:dyDescent="0.25">
      <c r="A11" s="11" t="s">
        <v>1</v>
      </c>
      <c r="B11" s="269" t="s">
        <v>329</v>
      </c>
      <c r="C11" s="472" t="s">
        <v>381</v>
      </c>
      <c r="D11" s="269" t="s">
        <v>367</v>
      </c>
      <c r="E11" s="269" t="s">
        <v>368</v>
      </c>
      <c r="F11" s="269" t="s">
        <v>382</v>
      </c>
      <c r="G11" s="13" t="s">
        <v>3</v>
      </c>
    </row>
    <row r="12" spans="1:23" s="135" customFormat="1" ht="18.75" customHeight="1" thickTop="1" thickBot="1" x14ac:dyDescent="0.25">
      <c r="A12" s="20"/>
      <c r="B12" s="21">
        <v>1</v>
      </c>
      <c r="C12" s="21">
        <v>2</v>
      </c>
      <c r="D12" s="21">
        <v>3</v>
      </c>
      <c r="E12" s="21">
        <v>4</v>
      </c>
      <c r="F12" s="21">
        <v>5</v>
      </c>
      <c r="G12" s="22" t="s">
        <v>10</v>
      </c>
    </row>
    <row r="13" spans="1:23" s="140" customFormat="1" ht="21" customHeight="1" x14ac:dyDescent="0.2">
      <c r="A13" s="311" t="s">
        <v>361</v>
      </c>
      <c r="B13" s="312">
        <f>B14</f>
        <v>1524070.81</v>
      </c>
      <c r="C13" s="312">
        <f t="shared" ref="C13:E13" si="0">C14</f>
        <v>1834346</v>
      </c>
      <c r="D13" s="312">
        <f t="shared" si="0"/>
        <v>1834346</v>
      </c>
      <c r="E13" s="312">
        <f t="shared" si="0"/>
        <v>1722386.56</v>
      </c>
      <c r="F13" s="313">
        <f>E13/B13*100</f>
        <v>113.01223989717381</v>
      </c>
      <c r="G13" s="314">
        <f>E13/D13*100</f>
        <v>93.896492809971505</v>
      </c>
    </row>
    <row r="14" spans="1:23" s="135" customFormat="1" ht="21" customHeight="1" x14ac:dyDescent="0.2">
      <c r="A14" s="315" t="s">
        <v>362</v>
      </c>
      <c r="B14" s="289">
        <f>B15</f>
        <v>1524070.81</v>
      </c>
      <c r="C14" s="289">
        <f t="shared" ref="C14:E14" si="1">C15</f>
        <v>1834346</v>
      </c>
      <c r="D14" s="289">
        <f t="shared" si="1"/>
        <v>1834346</v>
      </c>
      <c r="E14" s="289">
        <f t="shared" si="1"/>
        <v>1722386.56</v>
      </c>
      <c r="F14" s="290">
        <f>E14/B14*100</f>
        <v>113.01223989717381</v>
      </c>
      <c r="G14" s="316">
        <f>E14/D14*100</f>
        <v>93.896492809971505</v>
      </c>
      <c r="I14" s="325"/>
    </row>
    <row r="15" spans="1:23" s="135" customFormat="1" ht="21" customHeight="1" thickBot="1" x14ac:dyDescent="0.25">
      <c r="A15" s="317" t="s">
        <v>363</v>
      </c>
      <c r="B15" s="318">
        <v>1524070.81</v>
      </c>
      <c r="C15" s="318">
        <v>1834346</v>
      </c>
      <c r="D15" s="318">
        <v>1834346</v>
      </c>
      <c r="E15" s="318">
        <v>1722386.56</v>
      </c>
      <c r="F15" s="319">
        <f t="shared" ref="F15" si="2">E15/B15*100</f>
        <v>113.01223989717381</v>
      </c>
      <c r="G15" s="320">
        <f t="shared" ref="G15" si="3">E15/D15*100</f>
        <v>93.896492809971505</v>
      </c>
    </row>
    <row r="16" spans="1:23" ht="13.5" thickTop="1" x14ac:dyDescent="0.2"/>
    <row r="19" ht="12.75" customHeight="1" x14ac:dyDescent="0.2"/>
    <row r="24" ht="36.75" customHeight="1" x14ac:dyDescent="0.2"/>
    <row r="26" ht="28.5" customHeight="1" x14ac:dyDescent="0.2"/>
  </sheetData>
  <mergeCells count="4">
    <mergeCell ref="A6:G6"/>
    <mergeCell ref="A9:F9"/>
    <mergeCell ref="A7:F7"/>
    <mergeCell ref="A8:F8"/>
  </mergeCells>
  <pageMargins left="0.74803149606299213" right="0.74803149606299213" top="0.78740157480314965" bottom="0.78740157480314965" header="0.51181102362204722" footer="0.51181102362204722"/>
  <pageSetup scale="7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0"/>
  <sheetViews>
    <sheetView tabSelected="1" topLeftCell="A82" zoomScaleNormal="100" workbookViewId="0">
      <selection activeCell="M18" sqref="M18"/>
    </sheetView>
  </sheetViews>
  <sheetFormatPr defaultRowHeight="12.75" x14ac:dyDescent="0.2"/>
  <cols>
    <col min="1" max="1" width="11" style="132" customWidth="1"/>
    <col min="2" max="2" width="86.7109375" customWidth="1"/>
    <col min="3" max="3" width="21.7109375" customWidth="1"/>
    <col min="4" max="4" width="19.5703125" customWidth="1"/>
    <col min="5" max="5" width="19.28515625" customWidth="1"/>
    <col min="6" max="6" width="15.28515625" style="265" customWidth="1"/>
  </cols>
  <sheetData>
    <row r="1" spans="1:23" s="133" customFormat="1" x14ac:dyDescent="0.2">
      <c r="A1" s="204" t="s">
        <v>234</v>
      </c>
      <c r="F1" s="238"/>
    </row>
    <row r="2" spans="1:23" s="133" customFormat="1" x14ac:dyDescent="0.2">
      <c r="A2" s="204" t="s">
        <v>235</v>
      </c>
      <c r="F2" s="238"/>
    </row>
    <row r="3" spans="1:23" s="133" customFormat="1" x14ac:dyDescent="0.2">
      <c r="A3" s="204" t="s">
        <v>236</v>
      </c>
      <c r="F3" s="238"/>
    </row>
    <row r="4" spans="1:23" s="133" customFormat="1" x14ac:dyDescent="0.2">
      <c r="A4" s="204" t="s">
        <v>237</v>
      </c>
      <c r="F4" s="238"/>
    </row>
    <row r="5" spans="1:23" s="133" customFormat="1" x14ac:dyDescent="0.2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</row>
    <row r="6" spans="1:23" s="1" customFormat="1" ht="23.25" customHeight="1" x14ac:dyDescent="0.25">
      <c r="A6" s="373" t="s">
        <v>364</v>
      </c>
      <c r="B6" s="373"/>
      <c r="C6" s="373"/>
      <c r="D6" s="373"/>
      <c r="E6" s="373"/>
      <c r="F6" s="373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</row>
    <row r="7" spans="1:23" s="3" customFormat="1" ht="23.25" customHeight="1" x14ac:dyDescent="0.25">
      <c r="A7" s="373" t="s">
        <v>273</v>
      </c>
      <c r="B7" s="373"/>
      <c r="C7" s="373"/>
      <c r="D7" s="373"/>
      <c r="E7" s="373"/>
      <c r="F7" s="373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</row>
    <row r="8" spans="1:23" s="133" customFormat="1" ht="23.25" customHeight="1" x14ac:dyDescent="0.2">
      <c r="A8" s="374" t="s">
        <v>365</v>
      </c>
      <c r="B8" s="375"/>
      <c r="C8" s="375"/>
      <c r="D8" s="375"/>
      <c r="E8" s="375"/>
      <c r="F8" s="37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1:23" s="133" customFormat="1" x14ac:dyDescent="0.2">
      <c r="A9" s="376" t="s">
        <v>274</v>
      </c>
      <c r="B9" s="376"/>
      <c r="C9" s="376"/>
      <c r="D9" s="376"/>
      <c r="E9" s="376"/>
      <c r="F9" s="37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</row>
    <row r="10" spans="1:23" s="133" customFormat="1" x14ac:dyDescent="0.2">
      <c r="A10" s="130"/>
      <c r="B10" s="147"/>
      <c r="C10" s="147"/>
      <c r="D10" s="147"/>
      <c r="E10" s="147"/>
      <c r="F10" s="239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</row>
    <row r="11" spans="1:23" s="133" customFormat="1" x14ac:dyDescent="0.2">
      <c r="A11" s="376" t="s">
        <v>275</v>
      </c>
      <c r="B11" s="376"/>
      <c r="C11" s="376"/>
      <c r="D11" s="376"/>
      <c r="E11" s="376"/>
      <c r="F11" s="37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s="133" customFormat="1" x14ac:dyDescent="0.2">
      <c r="A12" s="130"/>
      <c r="B12" s="130"/>
      <c r="C12" s="130"/>
      <c r="D12" s="130"/>
      <c r="E12" s="130"/>
      <c r="F12" s="24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23" s="133" customFormat="1" x14ac:dyDescent="0.2">
      <c r="A13" s="148" t="s">
        <v>338</v>
      </c>
      <c r="B13" s="130"/>
      <c r="C13" s="130"/>
      <c r="D13" s="130"/>
      <c r="E13" s="130"/>
      <c r="F13" s="240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</row>
    <row r="14" spans="1:23" ht="13.5" thickBot="1" x14ac:dyDescent="0.25">
      <c r="A14" s="378"/>
      <c r="B14" s="378"/>
      <c r="C14" s="378"/>
      <c r="D14" s="378"/>
      <c r="E14" s="378"/>
      <c r="F14" s="378"/>
    </row>
    <row r="15" spans="1:23" ht="39.75" thickTop="1" thickBot="1" x14ac:dyDescent="0.25">
      <c r="A15" s="155" t="s">
        <v>276</v>
      </c>
      <c r="B15" s="156" t="s">
        <v>277</v>
      </c>
      <c r="C15" s="156" t="s">
        <v>366</v>
      </c>
      <c r="D15" s="156" t="s">
        <v>367</v>
      </c>
      <c r="E15" s="156" t="s">
        <v>368</v>
      </c>
      <c r="F15" s="241" t="s">
        <v>278</v>
      </c>
    </row>
    <row r="16" spans="1:23" s="133" customFormat="1" ht="14.25" thickTop="1" thickBot="1" x14ac:dyDescent="0.25">
      <c r="A16" s="467">
        <v>1</v>
      </c>
      <c r="B16" s="468"/>
      <c r="C16" s="156">
        <v>2</v>
      </c>
      <c r="D16" s="156">
        <v>3</v>
      </c>
      <c r="E16" s="156">
        <v>4</v>
      </c>
      <c r="F16" s="241" t="s">
        <v>279</v>
      </c>
    </row>
    <row r="17" spans="1:23" s="133" customFormat="1" ht="13.5" thickTop="1" x14ac:dyDescent="0.2">
      <c r="A17" s="172">
        <v>67</v>
      </c>
      <c r="B17" s="173" t="s">
        <v>298</v>
      </c>
      <c r="C17" s="174">
        <f>C18</f>
        <v>238130</v>
      </c>
      <c r="D17" s="174">
        <f t="shared" ref="D17:E17" si="0">D18</f>
        <v>238130</v>
      </c>
      <c r="E17" s="174">
        <f t="shared" si="0"/>
        <v>227519.5</v>
      </c>
      <c r="F17" s="242">
        <f>E17/D17*100</f>
        <v>95.544240540881034</v>
      </c>
    </row>
    <row r="18" spans="1:23" s="133" customFormat="1" x14ac:dyDescent="0.2">
      <c r="A18" s="170">
        <v>671</v>
      </c>
      <c r="B18" s="171" t="s">
        <v>299</v>
      </c>
      <c r="C18" s="99">
        <f>C19+C20</f>
        <v>238130</v>
      </c>
      <c r="D18" s="99">
        <f t="shared" ref="D18:E18" si="1">D19+D20</f>
        <v>238130</v>
      </c>
      <c r="E18" s="99">
        <f t="shared" si="1"/>
        <v>227519.5</v>
      </c>
      <c r="F18" s="243">
        <f t="shared" ref="F18:F21" si="2">E18/D18*100</f>
        <v>95.544240540881034</v>
      </c>
    </row>
    <row r="19" spans="1:23" s="133" customFormat="1" x14ac:dyDescent="0.2">
      <c r="A19" s="159">
        <v>6711</v>
      </c>
      <c r="B19" s="151" t="s">
        <v>300</v>
      </c>
      <c r="C19" s="69">
        <f>119240+108720</f>
        <v>227960</v>
      </c>
      <c r="D19" s="69">
        <f>119245+108720</f>
        <v>227965</v>
      </c>
      <c r="E19" s="69">
        <v>218180.71</v>
      </c>
      <c r="F19" s="244">
        <f t="shared" si="2"/>
        <v>95.707985875024676</v>
      </c>
      <c r="G19" s="293"/>
    </row>
    <row r="20" spans="1:23" s="133" customFormat="1" ht="13.5" thickBot="1" x14ac:dyDescent="0.25">
      <c r="A20" s="166">
        <v>6712</v>
      </c>
      <c r="B20" s="167" t="s">
        <v>301</v>
      </c>
      <c r="C20" s="79">
        <v>10170</v>
      </c>
      <c r="D20" s="79">
        <f>8837+1328</f>
        <v>10165</v>
      </c>
      <c r="E20" s="79">
        <v>9338.7900000000009</v>
      </c>
      <c r="F20" s="245">
        <f t="shared" si="2"/>
        <v>91.872011805213987</v>
      </c>
      <c r="G20" s="293"/>
    </row>
    <row r="21" spans="1:23" s="131" customFormat="1" ht="16.5" customHeight="1" thickBot="1" x14ac:dyDescent="0.25">
      <c r="A21" s="469" t="s">
        <v>304</v>
      </c>
      <c r="B21" s="470"/>
      <c r="C21" s="186">
        <f>C17</f>
        <v>238130</v>
      </c>
      <c r="D21" s="186">
        <f>D17</f>
        <v>238130</v>
      </c>
      <c r="E21" s="186">
        <f>E17</f>
        <v>227519.5</v>
      </c>
      <c r="F21" s="246">
        <f t="shared" si="2"/>
        <v>95.544240540881034</v>
      </c>
      <c r="G21" s="294"/>
    </row>
    <row r="22" spans="1:23" s="133" customFormat="1" ht="16.5" customHeight="1" thickTop="1" x14ac:dyDescent="0.2">
      <c r="A22" s="184"/>
      <c r="B22" s="185"/>
      <c r="C22" s="134"/>
      <c r="D22" s="134"/>
      <c r="E22" s="134"/>
      <c r="F22" s="247"/>
      <c r="G22" s="293"/>
    </row>
    <row r="23" spans="1:23" s="133" customFormat="1" x14ac:dyDescent="0.2">
      <c r="A23" s="148" t="s">
        <v>339</v>
      </c>
      <c r="B23" s="130"/>
      <c r="C23" s="130"/>
      <c r="D23" s="130"/>
      <c r="E23" s="130"/>
      <c r="F23" s="240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1:23" s="133" customFormat="1" ht="13.5" thickBot="1" x14ac:dyDescent="0.25">
      <c r="A24" s="378"/>
      <c r="B24" s="378"/>
      <c r="C24" s="378"/>
      <c r="D24" s="378"/>
      <c r="E24" s="378"/>
      <c r="F24" s="378"/>
    </row>
    <row r="25" spans="1:23" s="133" customFormat="1" ht="39.75" thickTop="1" thickBot="1" x14ac:dyDescent="0.25">
      <c r="A25" s="155" t="s">
        <v>276</v>
      </c>
      <c r="B25" s="156" t="s">
        <v>277</v>
      </c>
      <c r="C25" s="156" t="s">
        <v>366</v>
      </c>
      <c r="D25" s="156" t="s">
        <v>367</v>
      </c>
      <c r="E25" s="156" t="s">
        <v>368</v>
      </c>
      <c r="F25" s="241" t="s">
        <v>278</v>
      </c>
    </row>
    <row r="26" spans="1:23" s="133" customFormat="1" ht="14.25" thickTop="1" thickBot="1" x14ac:dyDescent="0.25">
      <c r="A26" s="467">
        <v>1</v>
      </c>
      <c r="B26" s="468"/>
      <c r="C26" s="156">
        <v>2</v>
      </c>
      <c r="D26" s="156">
        <v>3</v>
      </c>
      <c r="E26" s="156">
        <v>4</v>
      </c>
      <c r="F26" s="241" t="s">
        <v>279</v>
      </c>
    </row>
    <row r="27" spans="1:23" s="133" customFormat="1" ht="13.5" thickTop="1" x14ac:dyDescent="0.2">
      <c r="A27" s="172">
        <v>66</v>
      </c>
      <c r="B27" s="175" t="s">
        <v>294</v>
      </c>
      <c r="C27" s="176">
        <f>C28</f>
        <v>16560</v>
      </c>
      <c r="D27" s="176">
        <f t="shared" ref="D27:E27" si="3">D28</f>
        <v>16560</v>
      </c>
      <c r="E27" s="176">
        <f t="shared" si="3"/>
        <v>14330.84</v>
      </c>
      <c r="F27" s="248">
        <f t="shared" ref="F27:F33" si="4">E27/D27*100</f>
        <v>86.538888888888891</v>
      </c>
    </row>
    <row r="28" spans="1:23" s="133" customFormat="1" x14ac:dyDescent="0.2">
      <c r="A28" s="170">
        <v>661</v>
      </c>
      <c r="B28" s="164" t="s">
        <v>295</v>
      </c>
      <c r="C28" s="76">
        <f>C29</f>
        <v>16560</v>
      </c>
      <c r="D28" s="76">
        <f>D29</f>
        <v>16560</v>
      </c>
      <c r="E28" s="76">
        <f>E29</f>
        <v>14330.84</v>
      </c>
      <c r="F28" s="249">
        <f t="shared" si="4"/>
        <v>86.538888888888891</v>
      </c>
    </row>
    <row r="29" spans="1:23" s="133" customFormat="1" x14ac:dyDescent="0.2">
      <c r="A29" s="299">
        <v>6615</v>
      </c>
      <c r="B29" s="300" t="s">
        <v>296</v>
      </c>
      <c r="C29" s="97">
        <v>16560</v>
      </c>
      <c r="D29" s="97">
        <v>16560</v>
      </c>
      <c r="E29" s="97">
        <v>14330.84</v>
      </c>
      <c r="F29" s="301">
        <f t="shared" si="4"/>
        <v>86.538888888888891</v>
      </c>
    </row>
    <row r="30" spans="1:23" s="139" customFormat="1" x14ac:dyDescent="0.2">
      <c r="A30" s="295">
        <v>72</v>
      </c>
      <c r="B30" s="296" t="s">
        <v>335</v>
      </c>
      <c r="C30" s="297">
        <f t="shared" ref="C30:F31" si="5">C31</f>
        <v>0</v>
      </c>
      <c r="D30" s="297">
        <f t="shared" si="5"/>
        <v>0</v>
      </c>
      <c r="E30" s="298">
        <f t="shared" si="5"/>
        <v>0</v>
      </c>
      <c r="F30" s="310">
        <f t="shared" si="5"/>
        <v>0</v>
      </c>
      <c r="G30" s="308"/>
    </row>
    <row r="31" spans="1:23" s="139" customFormat="1" x14ac:dyDescent="0.2">
      <c r="A31" s="291">
        <v>722</v>
      </c>
      <c r="B31" s="274" t="s">
        <v>336</v>
      </c>
      <c r="C31" s="270">
        <f t="shared" si="5"/>
        <v>0</v>
      </c>
      <c r="D31" s="270">
        <f t="shared" si="5"/>
        <v>0</v>
      </c>
      <c r="E31" s="76">
        <f t="shared" si="5"/>
        <v>0</v>
      </c>
      <c r="F31" s="107">
        <f t="shared" si="5"/>
        <v>0</v>
      </c>
      <c r="G31" s="308"/>
    </row>
    <row r="32" spans="1:23" s="139" customFormat="1" ht="13.5" thickBot="1" x14ac:dyDescent="0.25">
      <c r="A32" s="292">
        <v>7227</v>
      </c>
      <c r="B32" s="275" t="s">
        <v>337</v>
      </c>
      <c r="C32" s="277">
        <v>0</v>
      </c>
      <c r="D32" s="277">
        <v>0</v>
      </c>
      <c r="E32" s="276">
        <v>0</v>
      </c>
      <c r="F32" s="279"/>
      <c r="G32" s="309"/>
    </row>
    <row r="33" spans="1:23" s="131" customFormat="1" ht="16.5" customHeight="1" thickBot="1" x14ac:dyDescent="0.25">
      <c r="A33" s="469" t="s">
        <v>305</v>
      </c>
      <c r="B33" s="470"/>
      <c r="C33" s="186">
        <f>C27+C30</f>
        <v>16560</v>
      </c>
      <c r="D33" s="186">
        <f t="shared" ref="D33:E33" si="6">D27+D30</f>
        <v>16560</v>
      </c>
      <c r="E33" s="186">
        <f t="shared" si="6"/>
        <v>14330.84</v>
      </c>
      <c r="F33" s="246">
        <f t="shared" si="4"/>
        <v>86.538888888888891</v>
      </c>
    </row>
    <row r="34" spans="1:23" s="131" customFormat="1" ht="16.5" customHeight="1" thickTop="1" x14ac:dyDescent="0.2">
      <c r="A34" s="168"/>
      <c r="B34" s="168"/>
      <c r="C34" s="169"/>
      <c r="D34" s="169"/>
      <c r="E34" s="169"/>
      <c r="F34" s="250"/>
    </row>
    <row r="35" spans="1:23" s="133" customFormat="1" x14ac:dyDescent="0.2">
      <c r="A35" s="148" t="s">
        <v>340</v>
      </c>
      <c r="B35" s="130"/>
      <c r="C35" s="130"/>
      <c r="D35" s="130"/>
      <c r="E35" s="130"/>
      <c r="F35" s="24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</row>
    <row r="36" spans="1:23" s="133" customFormat="1" ht="13.5" thickBot="1" x14ac:dyDescent="0.25">
      <c r="A36" s="378"/>
      <c r="B36" s="378"/>
      <c r="C36" s="378"/>
      <c r="D36" s="378"/>
      <c r="E36" s="378"/>
      <c r="F36" s="378"/>
    </row>
    <row r="37" spans="1:23" s="133" customFormat="1" ht="39.75" thickTop="1" thickBot="1" x14ac:dyDescent="0.25">
      <c r="A37" s="155" t="s">
        <v>276</v>
      </c>
      <c r="B37" s="156" t="s">
        <v>277</v>
      </c>
      <c r="C37" s="156" t="s">
        <v>366</v>
      </c>
      <c r="D37" s="156" t="s">
        <v>367</v>
      </c>
      <c r="E37" s="156" t="s">
        <v>368</v>
      </c>
      <c r="F37" s="241" t="s">
        <v>278</v>
      </c>
    </row>
    <row r="38" spans="1:23" s="133" customFormat="1" ht="14.25" thickTop="1" thickBot="1" x14ac:dyDescent="0.25">
      <c r="A38" s="467">
        <v>1</v>
      </c>
      <c r="B38" s="468"/>
      <c r="C38" s="156">
        <v>2</v>
      </c>
      <c r="D38" s="156">
        <v>3</v>
      </c>
      <c r="E38" s="156">
        <v>4</v>
      </c>
      <c r="F38" s="241" t="s">
        <v>279</v>
      </c>
    </row>
    <row r="39" spans="1:23" s="133" customFormat="1" ht="13.5" thickTop="1" x14ac:dyDescent="0.2">
      <c r="A39" s="177">
        <v>64</v>
      </c>
      <c r="B39" s="175" t="s">
        <v>288</v>
      </c>
      <c r="C39" s="176">
        <f>C40</f>
        <v>30</v>
      </c>
      <c r="D39" s="176">
        <f t="shared" ref="D39:E40" si="7">D40</f>
        <v>30</v>
      </c>
      <c r="E39" s="176">
        <f t="shared" si="7"/>
        <v>0</v>
      </c>
      <c r="F39" s="248">
        <f t="shared" ref="F39:F48" si="8">E39/D39*100</f>
        <v>0</v>
      </c>
    </row>
    <row r="40" spans="1:23" s="133" customFormat="1" x14ac:dyDescent="0.2">
      <c r="A40" s="157">
        <v>641</v>
      </c>
      <c r="B40" s="164" t="s">
        <v>289</v>
      </c>
      <c r="C40" s="76">
        <f>C41</f>
        <v>30</v>
      </c>
      <c r="D40" s="76">
        <f t="shared" si="7"/>
        <v>30</v>
      </c>
      <c r="E40" s="76">
        <f t="shared" si="7"/>
        <v>0</v>
      </c>
      <c r="F40" s="249">
        <f t="shared" si="8"/>
        <v>0</v>
      </c>
    </row>
    <row r="41" spans="1:23" s="133" customFormat="1" x14ac:dyDescent="0.2">
      <c r="A41" s="166">
        <v>6413</v>
      </c>
      <c r="B41" s="178" t="s">
        <v>290</v>
      </c>
      <c r="C41" s="79">
        <v>30</v>
      </c>
      <c r="D41" s="79">
        <v>30</v>
      </c>
      <c r="E41" s="79">
        <v>0</v>
      </c>
      <c r="F41" s="245">
        <f t="shared" si="8"/>
        <v>0</v>
      </c>
    </row>
    <row r="42" spans="1:23" s="133" customFormat="1" ht="12.75" customHeight="1" x14ac:dyDescent="0.2">
      <c r="A42" s="179">
        <v>65</v>
      </c>
      <c r="B42" s="180" t="s">
        <v>291</v>
      </c>
      <c r="C42" s="81">
        <f>C43</f>
        <v>37450</v>
      </c>
      <c r="D42" s="81">
        <f t="shared" ref="D42:E43" si="9">D43</f>
        <v>37450</v>
      </c>
      <c r="E42" s="81">
        <f t="shared" si="9"/>
        <v>41779.9</v>
      </c>
      <c r="F42" s="251">
        <f t="shared" si="8"/>
        <v>111.56181575433912</v>
      </c>
    </row>
    <row r="43" spans="1:23" s="133" customFormat="1" x14ac:dyDescent="0.2">
      <c r="A43" s="157">
        <v>652</v>
      </c>
      <c r="B43" s="164" t="s">
        <v>292</v>
      </c>
      <c r="C43" s="76">
        <f>C44</f>
        <v>37450</v>
      </c>
      <c r="D43" s="76">
        <f t="shared" si="9"/>
        <v>37450</v>
      </c>
      <c r="E43" s="76">
        <f t="shared" si="9"/>
        <v>41779.9</v>
      </c>
      <c r="F43" s="249">
        <f t="shared" si="8"/>
        <v>111.56181575433912</v>
      </c>
    </row>
    <row r="44" spans="1:23" s="133" customFormat="1" x14ac:dyDescent="0.2">
      <c r="A44" s="181">
        <v>6526</v>
      </c>
      <c r="B44" s="178" t="s">
        <v>293</v>
      </c>
      <c r="C44" s="79">
        <v>37450</v>
      </c>
      <c r="D44" s="79">
        <v>37450</v>
      </c>
      <c r="E44" s="79">
        <v>41779.9</v>
      </c>
      <c r="F44" s="245">
        <f t="shared" si="8"/>
        <v>111.56181575433912</v>
      </c>
    </row>
    <row r="45" spans="1:23" s="133" customFormat="1" x14ac:dyDescent="0.2">
      <c r="A45" s="182">
        <v>68</v>
      </c>
      <c r="B45" s="183" t="s">
        <v>302</v>
      </c>
      <c r="C45" s="81">
        <f>C46</f>
        <v>500</v>
      </c>
      <c r="D45" s="81">
        <f t="shared" ref="D45:E46" si="10">D46</f>
        <v>500</v>
      </c>
      <c r="E45" s="81">
        <f t="shared" si="10"/>
        <v>473.94</v>
      </c>
      <c r="F45" s="251">
        <f t="shared" si="8"/>
        <v>94.787999999999997</v>
      </c>
    </row>
    <row r="46" spans="1:23" s="133" customFormat="1" x14ac:dyDescent="0.2">
      <c r="A46" s="157">
        <v>683</v>
      </c>
      <c r="B46" s="164" t="s">
        <v>303</v>
      </c>
      <c r="C46" s="76">
        <f>C47</f>
        <v>500</v>
      </c>
      <c r="D46" s="76">
        <f t="shared" si="10"/>
        <v>500</v>
      </c>
      <c r="E46" s="76">
        <f t="shared" si="10"/>
        <v>473.94</v>
      </c>
      <c r="F46" s="249">
        <f t="shared" si="8"/>
        <v>94.787999999999997</v>
      </c>
    </row>
    <row r="47" spans="1:23" s="133" customFormat="1" ht="13.5" thickBot="1" x14ac:dyDescent="0.25">
      <c r="A47" s="160">
        <v>6831</v>
      </c>
      <c r="B47" s="149" t="s">
        <v>303</v>
      </c>
      <c r="C47" s="69">
        <v>500</v>
      </c>
      <c r="D47" s="69">
        <v>500</v>
      </c>
      <c r="E47" s="69">
        <v>473.94</v>
      </c>
      <c r="F47" s="244">
        <f t="shared" si="8"/>
        <v>94.787999999999997</v>
      </c>
    </row>
    <row r="48" spans="1:23" s="131" customFormat="1" ht="16.5" customHeight="1" thickBot="1" x14ac:dyDescent="0.25">
      <c r="A48" s="469" t="s">
        <v>306</v>
      </c>
      <c r="B48" s="470"/>
      <c r="C48" s="186">
        <f>C39+C42+C45</f>
        <v>37980</v>
      </c>
      <c r="D48" s="186">
        <f t="shared" ref="D48:E48" si="11">D39+D42+D45</f>
        <v>37980</v>
      </c>
      <c r="E48" s="186">
        <f t="shared" si="11"/>
        <v>42253.840000000004</v>
      </c>
      <c r="F48" s="246">
        <f t="shared" si="8"/>
        <v>111.25286993154293</v>
      </c>
    </row>
    <row r="49" spans="1:23" s="131" customFormat="1" ht="16.5" customHeight="1" thickTop="1" x14ac:dyDescent="0.2">
      <c r="A49" s="168"/>
      <c r="B49" s="168"/>
      <c r="C49" s="169"/>
      <c r="D49" s="169"/>
      <c r="E49" s="169"/>
      <c r="F49" s="250"/>
    </row>
    <row r="50" spans="1:23" s="133" customFormat="1" x14ac:dyDescent="0.2">
      <c r="A50" s="148" t="s">
        <v>341</v>
      </c>
      <c r="B50" s="130"/>
      <c r="C50" s="130"/>
      <c r="D50" s="130"/>
      <c r="E50" s="130"/>
      <c r="F50" s="240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</row>
    <row r="51" spans="1:23" s="133" customFormat="1" ht="13.5" thickBot="1" x14ac:dyDescent="0.25">
      <c r="A51" s="378"/>
      <c r="B51" s="378"/>
      <c r="C51" s="378"/>
      <c r="D51" s="378"/>
      <c r="E51" s="378"/>
      <c r="F51" s="378"/>
    </row>
    <row r="52" spans="1:23" s="133" customFormat="1" ht="39.75" thickTop="1" thickBot="1" x14ac:dyDescent="0.25">
      <c r="A52" s="155" t="s">
        <v>276</v>
      </c>
      <c r="B52" s="156" t="s">
        <v>277</v>
      </c>
      <c r="C52" s="156" t="s">
        <v>366</v>
      </c>
      <c r="D52" s="156" t="s">
        <v>367</v>
      </c>
      <c r="E52" s="156" t="s">
        <v>368</v>
      </c>
      <c r="F52" s="241" t="s">
        <v>278</v>
      </c>
    </row>
    <row r="53" spans="1:23" s="133" customFormat="1" ht="14.25" thickTop="1" thickBot="1" x14ac:dyDescent="0.25">
      <c r="A53" s="467">
        <v>1</v>
      </c>
      <c r="B53" s="468"/>
      <c r="C53" s="156">
        <v>2</v>
      </c>
      <c r="D53" s="156">
        <v>3</v>
      </c>
      <c r="E53" s="156">
        <v>4</v>
      </c>
      <c r="F53" s="241" t="s">
        <v>279</v>
      </c>
    </row>
    <row r="54" spans="1:23" s="133" customFormat="1" ht="13.5" thickTop="1" x14ac:dyDescent="0.2">
      <c r="A54" s="177">
        <v>63</v>
      </c>
      <c r="B54" s="175" t="s">
        <v>280</v>
      </c>
      <c r="C54" s="176">
        <f>C55+C58+C60+C63</f>
        <v>1510859</v>
      </c>
      <c r="D54" s="176">
        <f t="shared" ref="D54:E54" si="12">D55+D58+D60+D63</f>
        <v>1510859</v>
      </c>
      <c r="E54" s="176">
        <f t="shared" si="12"/>
        <v>1454933.2899999998</v>
      </c>
      <c r="F54" s="248">
        <f t="shared" ref="F54:F65" si="13">E54/D54*100</f>
        <v>96.29841633137174</v>
      </c>
    </row>
    <row r="55" spans="1:23" s="133" customFormat="1" x14ac:dyDescent="0.2">
      <c r="A55" s="170">
        <v>632</v>
      </c>
      <c r="B55" s="164" t="s">
        <v>281</v>
      </c>
      <c r="C55" s="76">
        <f>C56+C57</f>
        <v>10600</v>
      </c>
      <c r="D55" s="76">
        <f t="shared" ref="D55:E55" si="14">D56+D57</f>
        <v>10600</v>
      </c>
      <c r="E55" s="76">
        <f t="shared" si="14"/>
        <v>7628</v>
      </c>
      <c r="F55" s="249">
        <f t="shared" si="13"/>
        <v>71.962264150943398</v>
      </c>
    </row>
    <row r="56" spans="1:23" s="133" customFormat="1" x14ac:dyDescent="0.2">
      <c r="A56" s="159">
        <v>6321</v>
      </c>
      <c r="B56" s="149" t="s">
        <v>282</v>
      </c>
      <c r="C56" s="69">
        <v>8770</v>
      </c>
      <c r="D56" s="69">
        <v>8770</v>
      </c>
      <c r="E56" s="69">
        <v>3895.5</v>
      </c>
      <c r="F56" s="244">
        <f t="shared" si="13"/>
        <v>44.418472063854047</v>
      </c>
    </row>
    <row r="57" spans="1:23" s="139" customFormat="1" x14ac:dyDescent="0.2">
      <c r="A57" s="159">
        <v>6322</v>
      </c>
      <c r="B57" s="149" t="s">
        <v>373</v>
      </c>
      <c r="C57" s="69">
        <v>1830</v>
      </c>
      <c r="D57" s="69">
        <v>1830</v>
      </c>
      <c r="E57" s="69">
        <v>3732.5</v>
      </c>
      <c r="F57" s="244">
        <f t="shared" ref="F57" si="15">E57/D57*100</f>
        <v>203.96174863387978</v>
      </c>
    </row>
    <row r="58" spans="1:23" s="133" customFormat="1" x14ac:dyDescent="0.2">
      <c r="A58" s="158">
        <v>634</v>
      </c>
      <c r="B58" s="152" t="s">
        <v>283</v>
      </c>
      <c r="C58" s="67">
        <f>C59</f>
        <v>9300</v>
      </c>
      <c r="D58" s="67">
        <f t="shared" ref="D58" si="16">D59</f>
        <v>9300</v>
      </c>
      <c r="E58" s="67">
        <f>E59</f>
        <v>0</v>
      </c>
      <c r="F58" s="252">
        <f t="shared" si="13"/>
        <v>0</v>
      </c>
    </row>
    <row r="59" spans="1:23" s="133" customFormat="1" x14ac:dyDescent="0.2">
      <c r="A59" s="160">
        <v>6341</v>
      </c>
      <c r="B59" s="149" t="s">
        <v>284</v>
      </c>
      <c r="C59" s="69">
        <v>9300</v>
      </c>
      <c r="D59" s="69">
        <v>9300</v>
      </c>
      <c r="E59" s="69">
        <v>0</v>
      </c>
      <c r="F59" s="244">
        <f t="shared" si="13"/>
        <v>0</v>
      </c>
    </row>
    <row r="60" spans="1:23" s="133" customFormat="1" x14ac:dyDescent="0.2">
      <c r="A60" s="158">
        <v>636</v>
      </c>
      <c r="B60" s="152" t="s">
        <v>285</v>
      </c>
      <c r="C60" s="67">
        <f>C61+C62</f>
        <v>1470830</v>
      </c>
      <c r="D60" s="67">
        <f t="shared" ref="D60:E60" si="17">D61+D62</f>
        <v>1470830</v>
      </c>
      <c r="E60" s="67">
        <f t="shared" si="17"/>
        <v>1427177.8399999999</v>
      </c>
      <c r="F60" s="252">
        <f t="shared" si="13"/>
        <v>97.03214103601367</v>
      </c>
    </row>
    <row r="61" spans="1:23" s="133" customFormat="1" x14ac:dyDescent="0.2">
      <c r="A61" s="160">
        <v>6361</v>
      </c>
      <c r="B61" s="149" t="s">
        <v>286</v>
      </c>
      <c r="C61" s="69">
        <v>1464190</v>
      </c>
      <c r="D61" s="69">
        <v>1464190</v>
      </c>
      <c r="E61" s="69">
        <v>1426381.18</v>
      </c>
      <c r="F61" s="244">
        <f t="shared" si="13"/>
        <v>97.417765453936994</v>
      </c>
    </row>
    <row r="62" spans="1:23" s="133" customFormat="1" x14ac:dyDescent="0.2">
      <c r="A62" s="160">
        <v>6362</v>
      </c>
      <c r="B62" s="149" t="s">
        <v>287</v>
      </c>
      <c r="C62" s="69">
        <v>6640</v>
      </c>
      <c r="D62" s="69">
        <v>6640</v>
      </c>
      <c r="E62" s="69">
        <v>796.66</v>
      </c>
      <c r="F62" s="244">
        <f t="shared" si="13"/>
        <v>11.997891566265059</v>
      </c>
    </row>
    <row r="63" spans="1:23" s="133" customFormat="1" x14ac:dyDescent="0.2">
      <c r="A63" s="158">
        <v>639</v>
      </c>
      <c r="B63" s="152" t="s">
        <v>211</v>
      </c>
      <c r="C63" s="67">
        <f>C64</f>
        <v>20129</v>
      </c>
      <c r="D63" s="67">
        <f t="shared" ref="D63:E63" si="18">D64</f>
        <v>20129</v>
      </c>
      <c r="E63" s="67">
        <f t="shared" si="18"/>
        <v>20127.45</v>
      </c>
      <c r="F63" s="252">
        <f t="shared" si="13"/>
        <v>99.992299667146909</v>
      </c>
    </row>
    <row r="64" spans="1:23" s="133" customFormat="1" ht="12.75" customHeight="1" thickBot="1" x14ac:dyDescent="0.25">
      <c r="A64" s="161">
        <v>6393</v>
      </c>
      <c r="B64" s="165" t="s">
        <v>212</v>
      </c>
      <c r="C64" s="69">
        <v>20129</v>
      </c>
      <c r="D64" s="69">
        <v>20129</v>
      </c>
      <c r="E64" s="69">
        <v>20127.45</v>
      </c>
      <c r="F64" s="244">
        <f t="shared" si="13"/>
        <v>99.992299667146909</v>
      </c>
    </row>
    <row r="65" spans="1:23" s="131" customFormat="1" ht="16.5" customHeight="1" thickBot="1" x14ac:dyDescent="0.25">
      <c r="A65" s="469" t="s">
        <v>307</v>
      </c>
      <c r="B65" s="470"/>
      <c r="C65" s="186">
        <f>C54</f>
        <v>1510859</v>
      </c>
      <c r="D65" s="186">
        <f>D54</f>
        <v>1510859</v>
      </c>
      <c r="E65" s="186">
        <f>E54</f>
        <v>1454933.2899999998</v>
      </c>
      <c r="F65" s="246">
        <f t="shared" si="13"/>
        <v>96.29841633137174</v>
      </c>
    </row>
    <row r="66" spans="1:23" s="131" customFormat="1" ht="16.5" customHeight="1" thickTop="1" x14ac:dyDescent="0.2">
      <c r="A66" s="187"/>
      <c r="B66" s="187"/>
      <c r="C66" s="188"/>
      <c r="D66" s="188"/>
      <c r="E66" s="188"/>
      <c r="F66" s="253"/>
    </row>
    <row r="67" spans="1:23" s="133" customFormat="1" x14ac:dyDescent="0.2">
      <c r="A67" s="148" t="s">
        <v>342</v>
      </c>
      <c r="B67" s="130"/>
      <c r="C67" s="130"/>
      <c r="D67" s="130"/>
      <c r="E67" s="130"/>
      <c r="F67" s="240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</row>
    <row r="68" spans="1:23" s="133" customFormat="1" ht="13.5" thickBot="1" x14ac:dyDescent="0.25">
      <c r="A68" s="378"/>
      <c r="B68" s="378"/>
      <c r="C68" s="378"/>
      <c r="D68" s="378"/>
      <c r="E68" s="378"/>
      <c r="F68" s="378"/>
    </row>
    <row r="69" spans="1:23" s="133" customFormat="1" ht="39.75" thickTop="1" thickBot="1" x14ac:dyDescent="0.25">
      <c r="A69" s="155" t="s">
        <v>276</v>
      </c>
      <c r="B69" s="156" t="s">
        <v>277</v>
      </c>
      <c r="C69" s="156" t="s">
        <v>366</v>
      </c>
      <c r="D69" s="156" t="s">
        <v>367</v>
      </c>
      <c r="E69" s="156" t="s">
        <v>368</v>
      </c>
      <c r="F69" s="241" t="s">
        <v>278</v>
      </c>
    </row>
    <row r="70" spans="1:23" s="133" customFormat="1" ht="14.25" thickTop="1" thickBot="1" x14ac:dyDescent="0.25">
      <c r="A70" s="467">
        <v>1</v>
      </c>
      <c r="B70" s="468"/>
      <c r="C70" s="156">
        <v>2</v>
      </c>
      <c r="D70" s="156">
        <v>3</v>
      </c>
      <c r="E70" s="156">
        <v>4</v>
      </c>
      <c r="F70" s="241" t="s">
        <v>279</v>
      </c>
    </row>
    <row r="71" spans="1:23" s="133" customFormat="1" ht="13.5" thickTop="1" x14ac:dyDescent="0.2">
      <c r="A71" s="158">
        <v>663</v>
      </c>
      <c r="B71" s="152" t="s">
        <v>297</v>
      </c>
      <c r="C71" s="67">
        <f>C72+C73</f>
        <v>1860</v>
      </c>
      <c r="D71" s="67">
        <f t="shared" ref="D71:E71" si="19">D72+D73</f>
        <v>1860</v>
      </c>
      <c r="E71" s="67">
        <f t="shared" si="19"/>
        <v>1389.44</v>
      </c>
      <c r="F71" s="252">
        <f t="shared" ref="F71:F74" si="20">E71/D71*100</f>
        <v>74.701075268817206</v>
      </c>
    </row>
    <row r="72" spans="1:23" s="133" customFormat="1" x14ac:dyDescent="0.2">
      <c r="A72" s="160">
        <v>6631</v>
      </c>
      <c r="B72" s="149" t="s">
        <v>191</v>
      </c>
      <c r="C72" s="69">
        <v>1860</v>
      </c>
      <c r="D72" s="69">
        <v>1860</v>
      </c>
      <c r="E72" s="69">
        <v>1389.44</v>
      </c>
      <c r="F72" s="244">
        <f t="shared" si="20"/>
        <v>74.701075268817206</v>
      </c>
    </row>
    <row r="73" spans="1:23" s="133" customFormat="1" ht="13.5" thickBot="1" x14ac:dyDescent="0.25">
      <c r="A73" s="160">
        <v>6632</v>
      </c>
      <c r="B73" s="149" t="s">
        <v>192</v>
      </c>
      <c r="C73" s="69">
        <v>0</v>
      </c>
      <c r="D73" s="69">
        <v>0</v>
      </c>
      <c r="E73" s="69">
        <v>0</v>
      </c>
      <c r="F73" s="244"/>
    </row>
    <row r="74" spans="1:23" s="131" customFormat="1" ht="16.5" customHeight="1" thickBot="1" x14ac:dyDescent="0.25">
      <c r="A74" s="469" t="s">
        <v>308</v>
      </c>
      <c r="B74" s="470"/>
      <c r="C74" s="186">
        <f>C71</f>
        <v>1860</v>
      </c>
      <c r="D74" s="186">
        <f t="shared" ref="D74:E74" si="21">D71</f>
        <v>1860</v>
      </c>
      <c r="E74" s="186">
        <f t="shared" si="21"/>
        <v>1389.44</v>
      </c>
      <c r="F74" s="246">
        <f t="shared" si="20"/>
        <v>74.701075268817206</v>
      </c>
    </row>
    <row r="75" spans="1:23" s="131" customFormat="1" ht="16.5" customHeight="1" thickTop="1" x14ac:dyDescent="0.2">
      <c r="A75" s="187"/>
      <c r="B75" s="187"/>
      <c r="C75" s="188"/>
      <c r="D75" s="188"/>
      <c r="E75" s="188"/>
      <c r="F75" s="253"/>
    </row>
    <row r="76" spans="1:23" s="131" customFormat="1" ht="16.5" customHeight="1" x14ac:dyDescent="0.2">
      <c r="A76" s="471" t="s">
        <v>314</v>
      </c>
      <c r="B76" s="471"/>
      <c r="C76" s="169"/>
      <c r="D76" s="169"/>
      <c r="E76" s="169"/>
      <c r="F76" s="250"/>
    </row>
    <row r="77" spans="1:23" s="131" customFormat="1" ht="12.75" customHeight="1" x14ac:dyDescent="0.2">
      <c r="A77" s="168"/>
      <c r="B77" s="168"/>
      <c r="C77" s="169"/>
      <c r="D77" s="169"/>
      <c r="E77" s="169"/>
      <c r="F77" s="250"/>
    </row>
    <row r="78" spans="1:23" s="133" customFormat="1" x14ac:dyDescent="0.2">
      <c r="A78" s="148" t="s">
        <v>343</v>
      </c>
      <c r="B78" s="130"/>
      <c r="C78" s="130"/>
      <c r="D78" s="130"/>
      <c r="E78" s="130"/>
      <c r="F78" s="240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</row>
    <row r="79" spans="1:23" s="133" customFormat="1" ht="13.5" thickBot="1" x14ac:dyDescent="0.25">
      <c r="A79" s="378"/>
      <c r="B79" s="378"/>
      <c r="C79" s="378"/>
      <c r="D79" s="378"/>
      <c r="E79" s="378"/>
      <c r="F79" s="378"/>
    </row>
    <row r="80" spans="1:23" s="133" customFormat="1" ht="39.75" thickTop="1" thickBot="1" x14ac:dyDescent="0.25">
      <c r="A80" s="155" t="s">
        <v>276</v>
      </c>
      <c r="B80" s="156" t="s">
        <v>277</v>
      </c>
      <c r="C80" s="156" t="s">
        <v>366</v>
      </c>
      <c r="D80" s="156" t="s">
        <v>367</v>
      </c>
      <c r="E80" s="156" t="s">
        <v>368</v>
      </c>
      <c r="F80" s="241" t="s">
        <v>278</v>
      </c>
    </row>
    <row r="81" spans="1:23" s="133" customFormat="1" ht="14.25" thickTop="1" thickBot="1" x14ac:dyDescent="0.25">
      <c r="A81" s="467">
        <v>1</v>
      </c>
      <c r="B81" s="468"/>
      <c r="C81" s="156">
        <v>2</v>
      </c>
      <c r="D81" s="156">
        <v>3</v>
      </c>
      <c r="E81" s="156">
        <v>4</v>
      </c>
      <c r="F81" s="241" t="s">
        <v>279</v>
      </c>
    </row>
    <row r="82" spans="1:23" s="133" customFormat="1" ht="13.5" thickTop="1" x14ac:dyDescent="0.2">
      <c r="A82" s="172">
        <v>92</v>
      </c>
      <c r="B82" s="175" t="s">
        <v>310</v>
      </c>
      <c r="C82" s="176">
        <f>C83</f>
        <v>5092</v>
      </c>
      <c r="D82" s="176">
        <f t="shared" ref="D82:E82" si="22">D83</f>
        <v>5092</v>
      </c>
      <c r="E82" s="176">
        <f t="shared" si="22"/>
        <v>5091.62</v>
      </c>
      <c r="F82" s="248">
        <f t="shared" ref="F82:F86" si="23">E82/D82*100</f>
        <v>99.992537313432834</v>
      </c>
    </row>
    <row r="83" spans="1:23" s="133" customFormat="1" x14ac:dyDescent="0.2">
      <c r="A83" s="170">
        <v>922</v>
      </c>
      <c r="B83" s="164" t="s">
        <v>311</v>
      </c>
      <c r="C83" s="76">
        <f>C84+C85</f>
        <v>5092</v>
      </c>
      <c r="D83" s="76">
        <f t="shared" ref="D83:E83" si="24">D84+D85</f>
        <v>5092</v>
      </c>
      <c r="E83" s="76">
        <f t="shared" si="24"/>
        <v>5091.62</v>
      </c>
      <c r="F83" s="249">
        <f t="shared" si="23"/>
        <v>99.992537313432834</v>
      </c>
    </row>
    <row r="84" spans="1:23" s="133" customFormat="1" x14ac:dyDescent="0.2">
      <c r="A84" s="160">
        <v>92211</v>
      </c>
      <c r="B84" s="149" t="s">
        <v>309</v>
      </c>
      <c r="C84" s="69">
        <v>4707</v>
      </c>
      <c r="D84" s="69">
        <v>4707</v>
      </c>
      <c r="E84" s="69">
        <v>4706.72</v>
      </c>
      <c r="F84" s="244">
        <f t="shared" si="23"/>
        <v>99.99405141278946</v>
      </c>
    </row>
    <row r="85" spans="1:23" s="139" customFormat="1" ht="13.5" thickBot="1" x14ac:dyDescent="0.25">
      <c r="A85" s="160">
        <v>92212</v>
      </c>
      <c r="B85" s="149" t="s">
        <v>359</v>
      </c>
      <c r="C85" s="69">
        <v>385</v>
      </c>
      <c r="D85" s="69">
        <v>385</v>
      </c>
      <c r="E85" s="69">
        <v>384.9</v>
      </c>
      <c r="F85" s="244">
        <f t="shared" ref="F85" si="25">E85/D85*100</f>
        <v>99.974025974025977</v>
      </c>
    </row>
    <row r="86" spans="1:23" s="131" customFormat="1" ht="16.5" customHeight="1" thickBot="1" x14ac:dyDescent="0.25">
      <c r="A86" s="469" t="s">
        <v>312</v>
      </c>
      <c r="B86" s="470"/>
      <c r="C86" s="186">
        <f>C82</f>
        <v>5092</v>
      </c>
      <c r="D86" s="186">
        <f t="shared" ref="D86:E86" si="26">D82</f>
        <v>5092</v>
      </c>
      <c r="E86" s="186">
        <f t="shared" si="26"/>
        <v>5091.62</v>
      </c>
      <c r="F86" s="246">
        <f t="shared" si="23"/>
        <v>99.992537313432834</v>
      </c>
    </row>
    <row r="87" spans="1:23" s="131" customFormat="1" ht="16.5" customHeight="1" thickTop="1" x14ac:dyDescent="0.2">
      <c r="A87" s="168"/>
      <c r="B87" s="168"/>
      <c r="C87" s="169"/>
      <c r="D87" s="169"/>
      <c r="E87" s="169"/>
      <c r="F87" s="250"/>
    </row>
    <row r="88" spans="1:23" s="133" customFormat="1" x14ac:dyDescent="0.2">
      <c r="A88" s="148" t="s">
        <v>344</v>
      </c>
      <c r="B88" s="130"/>
      <c r="C88" s="130"/>
      <c r="D88" s="130"/>
      <c r="E88" s="130"/>
      <c r="F88" s="240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</row>
    <row r="89" spans="1:23" s="133" customFormat="1" ht="13.5" thickBot="1" x14ac:dyDescent="0.25">
      <c r="A89" s="378"/>
      <c r="B89" s="378"/>
      <c r="C89" s="378"/>
      <c r="D89" s="378"/>
      <c r="E89" s="378"/>
      <c r="F89" s="378"/>
    </row>
    <row r="90" spans="1:23" s="133" customFormat="1" ht="39.75" thickTop="1" thickBot="1" x14ac:dyDescent="0.25">
      <c r="A90" s="155" t="s">
        <v>276</v>
      </c>
      <c r="B90" s="156" t="s">
        <v>277</v>
      </c>
      <c r="C90" s="156" t="s">
        <v>366</v>
      </c>
      <c r="D90" s="156" t="s">
        <v>367</v>
      </c>
      <c r="E90" s="156" t="s">
        <v>368</v>
      </c>
      <c r="F90" s="241" t="s">
        <v>278</v>
      </c>
    </row>
    <row r="91" spans="1:23" s="133" customFormat="1" ht="14.25" thickTop="1" thickBot="1" x14ac:dyDescent="0.25">
      <c r="A91" s="467">
        <v>1</v>
      </c>
      <c r="B91" s="468"/>
      <c r="C91" s="156">
        <v>2</v>
      </c>
      <c r="D91" s="156">
        <v>3</v>
      </c>
      <c r="E91" s="156">
        <v>4</v>
      </c>
      <c r="F91" s="241" t="s">
        <v>279</v>
      </c>
    </row>
    <row r="92" spans="1:23" s="133" customFormat="1" ht="13.5" thickTop="1" x14ac:dyDescent="0.2">
      <c r="A92" s="172">
        <v>92</v>
      </c>
      <c r="B92" s="175" t="s">
        <v>310</v>
      </c>
      <c r="C92" s="176">
        <f>C93</f>
        <v>21648</v>
      </c>
      <c r="D92" s="176">
        <f t="shared" ref="D92:E92" si="27">D93</f>
        <v>21648</v>
      </c>
      <c r="E92" s="176">
        <f t="shared" si="27"/>
        <v>21647.89</v>
      </c>
      <c r="F92" s="248">
        <f t="shared" ref="F92:F96" si="28">E92/D92*100</f>
        <v>99.9994918699187</v>
      </c>
    </row>
    <row r="93" spans="1:23" s="133" customFormat="1" x14ac:dyDescent="0.2">
      <c r="A93" s="170">
        <v>922</v>
      </c>
      <c r="B93" s="164" t="s">
        <v>311</v>
      </c>
      <c r="C93" s="76">
        <f>C94+C95</f>
        <v>21648</v>
      </c>
      <c r="D93" s="76">
        <f t="shared" ref="D93:E93" si="29">D94+D95</f>
        <v>21648</v>
      </c>
      <c r="E93" s="76">
        <f t="shared" si="29"/>
        <v>21647.89</v>
      </c>
      <c r="F93" s="249">
        <f t="shared" si="28"/>
        <v>99.9994918699187</v>
      </c>
    </row>
    <row r="94" spans="1:23" s="133" customFormat="1" x14ac:dyDescent="0.2">
      <c r="A94" s="160">
        <v>92211</v>
      </c>
      <c r="B94" s="149" t="s">
        <v>309</v>
      </c>
      <c r="C94" s="69">
        <v>12647</v>
      </c>
      <c r="D94" s="69">
        <v>12647</v>
      </c>
      <c r="E94" s="69">
        <v>12647.16</v>
      </c>
      <c r="F94" s="244">
        <f t="shared" si="28"/>
        <v>100.00126512216336</v>
      </c>
    </row>
    <row r="95" spans="1:23" s="139" customFormat="1" ht="13.5" thickBot="1" x14ac:dyDescent="0.25">
      <c r="A95" s="160">
        <v>92212</v>
      </c>
      <c r="B95" s="149" t="s">
        <v>359</v>
      </c>
      <c r="C95" s="69">
        <v>9001</v>
      </c>
      <c r="D95" s="69">
        <v>9001</v>
      </c>
      <c r="E95" s="69">
        <v>9000.73</v>
      </c>
      <c r="F95" s="244">
        <f t="shared" ref="F95" si="30">E95/D95*100</f>
        <v>99.997000333296299</v>
      </c>
    </row>
    <row r="96" spans="1:23" s="131" customFormat="1" ht="16.5" customHeight="1" thickBot="1" x14ac:dyDescent="0.25">
      <c r="A96" s="469" t="s">
        <v>313</v>
      </c>
      <c r="B96" s="470"/>
      <c r="C96" s="186">
        <f>C92</f>
        <v>21648</v>
      </c>
      <c r="D96" s="186">
        <f t="shared" ref="D96:E96" si="31">D92</f>
        <v>21648</v>
      </c>
      <c r="E96" s="186">
        <f t="shared" si="31"/>
        <v>21647.89</v>
      </c>
      <c r="F96" s="246">
        <f t="shared" si="28"/>
        <v>99.9994918699187</v>
      </c>
    </row>
    <row r="97" spans="1:23" s="131" customFormat="1" ht="16.5" customHeight="1" thickTop="1" x14ac:dyDescent="0.2">
      <c r="A97" s="168"/>
      <c r="B97" s="168"/>
      <c r="C97" s="169"/>
      <c r="D97" s="169"/>
      <c r="E97" s="169"/>
      <c r="F97" s="250"/>
    </row>
    <row r="98" spans="1:23" s="133" customFormat="1" x14ac:dyDescent="0.2">
      <c r="A98" s="148" t="s">
        <v>345</v>
      </c>
      <c r="B98" s="130"/>
      <c r="C98" s="130"/>
      <c r="D98" s="130"/>
      <c r="E98" s="130"/>
      <c r="F98" s="240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</row>
    <row r="99" spans="1:23" s="133" customFormat="1" ht="13.5" thickBot="1" x14ac:dyDescent="0.25">
      <c r="A99" s="378"/>
      <c r="B99" s="378"/>
      <c r="C99" s="378"/>
      <c r="D99" s="378"/>
      <c r="E99" s="378"/>
      <c r="F99" s="378"/>
    </row>
    <row r="100" spans="1:23" s="133" customFormat="1" ht="39.75" thickTop="1" thickBot="1" x14ac:dyDescent="0.25">
      <c r="A100" s="155" t="s">
        <v>276</v>
      </c>
      <c r="B100" s="156" t="s">
        <v>277</v>
      </c>
      <c r="C100" s="156" t="s">
        <v>366</v>
      </c>
      <c r="D100" s="156" t="s">
        <v>367</v>
      </c>
      <c r="E100" s="156" t="s">
        <v>368</v>
      </c>
      <c r="F100" s="241" t="s">
        <v>278</v>
      </c>
    </row>
    <row r="101" spans="1:23" s="133" customFormat="1" ht="14.25" thickTop="1" thickBot="1" x14ac:dyDescent="0.25">
      <c r="A101" s="467">
        <v>1</v>
      </c>
      <c r="B101" s="468"/>
      <c r="C101" s="156">
        <v>2</v>
      </c>
      <c r="D101" s="156">
        <v>3</v>
      </c>
      <c r="E101" s="156">
        <v>4</v>
      </c>
      <c r="F101" s="241" t="s">
        <v>279</v>
      </c>
    </row>
    <row r="102" spans="1:23" s="133" customFormat="1" ht="13.5" thickTop="1" x14ac:dyDescent="0.2">
      <c r="A102" s="172">
        <v>92</v>
      </c>
      <c r="B102" s="175" t="s">
        <v>310</v>
      </c>
      <c r="C102" s="176">
        <f>C103</f>
        <v>2216</v>
      </c>
      <c r="D102" s="176">
        <f t="shared" ref="D102:D103" si="32">D103</f>
        <v>2216</v>
      </c>
      <c r="E102" s="176">
        <f t="shared" ref="E102:E103" si="33">E103</f>
        <v>2215.52</v>
      </c>
      <c r="F102" s="248">
        <f t="shared" ref="F102:F117" si="34">E102/D102*100</f>
        <v>99.978339350180505</v>
      </c>
    </row>
    <row r="103" spans="1:23" s="133" customFormat="1" x14ac:dyDescent="0.2">
      <c r="A103" s="170">
        <v>922</v>
      </c>
      <c r="B103" s="164" t="s">
        <v>311</v>
      </c>
      <c r="C103" s="76">
        <f>C104</f>
        <v>2216</v>
      </c>
      <c r="D103" s="76">
        <f t="shared" si="32"/>
        <v>2216</v>
      </c>
      <c r="E103" s="76">
        <f t="shared" si="33"/>
        <v>2215.52</v>
      </c>
      <c r="F103" s="249">
        <f t="shared" si="34"/>
        <v>99.978339350180505</v>
      </c>
    </row>
    <row r="104" spans="1:23" s="133" customFormat="1" ht="13.5" thickBot="1" x14ac:dyDescent="0.25">
      <c r="A104" s="160">
        <v>92211</v>
      </c>
      <c r="B104" s="149" t="s">
        <v>309</v>
      </c>
      <c r="C104" s="69">
        <v>2216</v>
      </c>
      <c r="D104" s="69">
        <v>2216</v>
      </c>
      <c r="E104" s="69">
        <v>2215.52</v>
      </c>
      <c r="F104" s="244">
        <f t="shared" si="34"/>
        <v>99.978339350180505</v>
      </c>
    </row>
    <row r="105" spans="1:23" s="131" customFormat="1" ht="16.5" customHeight="1" thickBot="1" x14ac:dyDescent="0.25">
      <c r="A105" s="469" t="s">
        <v>315</v>
      </c>
      <c r="B105" s="470"/>
      <c r="C105" s="186">
        <f>C102</f>
        <v>2216</v>
      </c>
      <c r="D105" s="186">
        <f t="shared" ref="D105:E105" si="35">D102</f>
        <v>2216</v>
      </c>
      <c r="E105" s="186">
        <f t="shared" si="35"/>
        <v>2215.52</v>
      </c>
      <c r="F105" s="246">
        <f t="shared" si="34"/>
        <v>99.978339350180505</v>
      </c>
    </row>
    <row r="106" spans="1:23" s="267" customFormat="1" ht="16.5" customHeight="1" thickTop="1" x14ac:dyDescent="0.2">
      <c r="A106" s="268"/>
      <c r="B106" s="268"/>
      <c r="C106" s="169"/>
      <c r="D106" s="169"/>
      <c r="E106" s="169"/>
      <c r="F106" s="250"/>
    </row>
    <row r="107" spans="1:23" s="139" customFormat="1" x14ac:dyDescent="0.2">
      <c r="A107" s="148" t="s">
        <v>346</v>
      </c>
      <c r="B107" s="266"/>
      <c r="C107" s="266"/>
      <c r="D107" s="266"/>
      <c r="E107" s="266"/>
      <c r="F107" s="240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</row>
    <row r="108" spans="1:23" s="139" customFormat="1" ht="13.5" thickBot="1" x14ac:dyDescent="0.25">
      <c r="A108" s="378"/>
      <c r="B108" s="378"/>
      <c r="C108" s="378"/>
      <c r="D108" s="378"/>
      <c r="E108" s="378"/>
      <c r="F108" s="378"/>
    </row>
    <row r="109" spans="1:23" s="139" customFormat="1" ht="39.75" thickTop="1" thickBot="1" x14ac:dyDescent="0.25">
      <c r="A109" s="155" t="s">
        <v>276</v>
      </c>
      <c r="B109" s="156" t="s">
        <v>277</v>
      </c>
      <c r="C109" s="156" t="s">
        <v>366</v>
      </c>
      <c r="D109" s="156" t="s">
        <v>367</v>
      </c>
      <c r="E109" s="156" t="s">
        <v>368</v>
      </c>
      <c r="F109" s="241" t="s">
        <v>278</v>
      </c>
    </row>
    <row r="110" spans="1:23" s="139" customFormat="1" ht="14.25" thickTop="1" thickBot="1" x14ac:dyDescent="0.25">
      <c r="A110" s="467">
        <v>1</v>
      </c>
      <c r="B110" s="468"/>
      <c r="C110" s="156">
        <v>2</v>
      </c>
      <c r="D110" s="156">
        <v>3</v>
      </c>
      <c r="E110" s="156">
        <v>4</v>
      </c>
      <c r="F110" s="241" t="s">
        <v>279</v>
      </c>
    </row>
    <row r="111" spans="1:23" s="139" customFormat="1" ht="13.5" thickTop="1" x14ac:dyDescent="0.2">
      <c r="A111" s="172">
        <v>92</v>
      </c>
      <c r="B111" s="175" t="s">
        <v>310</v>
      </c>
      <c r="C111" s="176">
        <f>C112</f>
        <v>1</v>
      </c>
      <c r="D111" s="176">
        <f t="shared" ref="D111:E112" si="36">D112</f>
        <v>1</v>
      </c>
      <c r="E111" s="176">
        <f t="shared" si="36"/>
        <v>0.05</v>
      </c>
      <c r="F111" s="248">
        <f t="shared" ref="F111:F114" si="37">E111/D111*100</f>
        <v>5</v>
      </c>
    </row>
    <row r="112" spans="1:23" s="139" customFormat="1" x14ac:dyDescent="0.2">
      <c r="A112" s="170">
        <v>922</v>
      </c>
      <c r="B112" s="164" t="s">
        <v>311</v>
      </c>
      <c r="C112" s="76">
        <f>C113</f>
        <v>1</v>
      </c>
      <c r="D112" s="76">
        <f t="shared" si="36"/>
        <v>1</v>
      </c>
      <c r="E112" s="76">
        <f t="shared" si="36"/>
        <v>0.05</v>
      </c>
      <c r="F112" s="249">
        <f t="shared" si="37"/>
        <v>5</v>
      </c>
    </row>
    <row r="113" spans="1:23" s="139" customFormat="1" ht="13.5" thickBot="1" x14ac:dyDescent="0.25">
      <c r="A113" s="160">
        <v>92211</v>
      </c>
      <c r="B113" s="149" t="s">
        <v>309</v>
      </c>
      <c r="C113" s="69">
        <v>1</v>
      </c>
      <c r="D113" s="69">
        <v>1</v>
      </c>
      <c r="E113" s="69">
        <v>0.05</v>
      </c>
      <c r="F113" s="244">
        <f t="shared" si="37"/>
        <v>5</v>
      </c>
    </row>
    <row r="114" spans="1:23" s="267" customFormat="1" ht="16.5" customHeight="1" thickBot="1" x14ac:dyDescent="0.25">
      <c r="A114" s="469" t="s">
        <v>315</v>
      </c>
      <c r="B114" s="470"/>
      <c r="C114" s="186">
        <f>C111</f>
        <v>1</v>
      </c>
      <c r="D114" s="186">
        <f t="shared" ref="D114:E114" si="38">D111</f>
        <v>1</v>
      </c>
      <c r="E114" s="186">
        <f t="shared" si="38"/>
        <v>0.05</v>
      </c>
      <c r="F114" s="246">
        <f t="shared" si="37"/>
        <v>5</v>
      </c>
    </row>
    <row r="115" spans="1:23" s="197" customFormat="1" ht="16.5" customHeight="1" thickTop="1" x14ac:dyDescent="0.2">
      <c r="A115" s="194"/>
      <c r="B115" s="195" t="s">
        <v>316</v>
      </c>
      <c r="C115" s="196">
        <f>C21+C33+C48+C65+C74</f>
        <v>1805389</v>
      </c>
      <c r="D115" s="196">
        <f>D21+D33+D48+D65+D74</f>
        <v>1805389</v>
      </c>
      <c r="E115" s="196">
        <f>E21+E33+E48+E65+E74</f>
        <v>1740426.9099999997</v>
      </c>
      <c r="F115" s="254">
        <f t="shared" si="34"/>
        <v>96.401767707679596</v>
      </c>
    </row>
    <row r="116" spans="1:23" s="197" customFormat="1" ht="16.5" customHeight="1" x14ac:dyDescent="0.2">
      <c r="A116" s="198"/>
      <c r="B116" s="199" t="s">
        <v>317</v>
      </c>
      <c r="C116" s="200">
        <f>C86+C96+C105+C114</f>
        <v>28957</v>
      </c>
      <c r="D116" s="200">
        <f t="shared" ref="D116:E116" si="39">D86+D96+D105+D114</f>
        <v>28957</v>
      </c>
      <c r="E116" s="200">
        <f t="shared" si="39"/>
        <v>28955.079999999998</v>
      </c>
      <c r="F116" s="255">
        <f t="shared" si="34"/>
        <v>99.993369478882471</v>
      </c>
    </row>
    <row r="117" spans="1:23" s="197" customFormat="1" ht="16.5" customHeight="1" thickBot="1" x14ac:dyDescent="0.25">
      <c r="A117" s="201"/>
      <c r="B117" s="202" t="s">
        <v>318</v>
      </c>
      <c r="C117" s="203">
        <f>C115+C116</f>
        <v>1834346</v>
      </c>
      <c r="D117" s="203">
        <f t="shared" ref="D117:E117" si="40">D115+D116</f>
        <v>1834346</v>
      </c>
      <c r="E117" s="203">
        <f t="shared" si="40"/>
        <v>1769381.9899999998</v>
      </c>
      <c r="F117" s="256">
        <f t="shared" si="34"/>
        <v>96.458464760737598</v>
      </c>
    </row>
    <row r="118" spans="1:23" s="197" customFormat="1" ht="16.5" customHeight="1" thickTop="1" x14ac:dyDescent="0.2">
      <c r="A118" s="205"/>
      <c r="B118" s="205"/>
      <c r="C118" s="206"/>
      <c r="D118" s="206"/>
      <c r="E118" s="206"/>
      <c r="F118" s="257"/>
    </row>
    <row r="119" spans="1:23" s="197" customFormat="1" ht="16.5" customHeight="1" x14ac:dyDescent="0.2">
      <c r="A119" s="471" t="s">
        <v>319</v>
      </c>
      <c r="B119" s="471"/>
      <c r="C119" s="471"/>
      <c r="D119" s="471"/>
      <c r="E119" s="471"/>
      <c r="F119" s="471"/>
    </row>
    <row r="120" spans="1:23" s="197" customFormat="1" ht="16.5" customHeight="1" x14ac:dyDescent="0.2">
      <c r="A120" s="207" t="s">
        <v>320</v>
      </c>
      <c r="B120" s="168"/>
      <c r="C120" s="168"/>
      <c r="D120" s="168"/>
      <c r="E120" s="168"/>
      <c r="F120" s="258"/>
    </row>
    <row r="121" spans="1:23" s="197" customFormat="1" ht="16.5" customHeight="1" x14ac:dyDescent="0.2">
      <c r="A121" s="207" t="s">
        <v>321</v>
      </c>
      <c r="B121" s="168"/>
      <c r="C121" s="168"/>
      <c r="D121" s="168"/>
      <c r="E121" s="168"/>
      <c r="F121" s="258"/>
    </row>
    <row r="122" spans="1:23" s="197" customFormat="1" ht="12.75" customHeight="1" x14ac:dyDescent="0.2">
      <c r="A122" s="207"/>
      <c r="B122" s="168"/>
      <c r="C122" s="168"/>
      <c r="D122" s="168"/>
      <c r="E122" s="168"/>
      <c r="F122" s="258"/>
    </row>
    <row r="123" spans="1:23" s="133" customFormat="1" x14ac:dyDescent="0.2">
      <c r="A123" s="148" t="s">
        <v>347</v>
      </c>
      <c r="B123" s="130"/>
      <c r="C123" s="130"/>
      <c r="D123" s="130"/>
      <c r="E123" s="130"/>
      <c r="F123" s="240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</row>
    <row r="124" spans="1:23" s="133" customFormat="1" ht="13.5" thickBot="1" x14ac:dyDescent="0.25">
      <c r="A124" s="378"/>
      <c r="B124" s="378"/>
      <c r="C124" s="378"/>
      <c r="D124" s="378"/>
      <c r="E124" s="378"/>
      <c r="F124" s="378"/>
    </row>
    <row r="125" spans="1:23" s="133" customFormat="1" ht="39.75" thickTop="1" thickBot="1" x14ac:dyDescent="0.25">
      <c r="A125" s="155" t="s">
        <v>322</v>
      </c>
      <c r="B125" s="156" t="s">
        <v>277</v>
      </c>
      <c r="C125" s="156" t="s">
        <v>366</v>
      </c>
      <c r="D125" s="156" t="s">
        <v>367</v>
      </c>
      <c r="E125" s="156" t="s">
        <v>368</v>
      </c>
      <c r="F125" s="241" t="s">
        <v>278</v>
      </c>
    </row>
    <row r="126" spans="1:23" s="133" customFormat="1" ht="14.25" thickTop="1" thickBot="1" x14ac:dyDescent="0.25">
      <c r="A126" s="467">
        <v>1</v>
      </c>
      <c r="B126" s="468"/>
      <c r="C126" s="156">
        <v>2</v>
      </c>
      <c r="D126" s="156">
        <v>3</v>
      </c>
      <c r="E126" s="156">
        <v>4</v>
      </c>
      <c r="F126" s="241" t="s">
        <v>279</v>
      </c>
    </row>
    <row r="127" spans="1:23" s="139" customFormat="1" ht="13.5" thickTop="1" x14ac:dyDescent="0.2">
      <c r="A127" s="232">
        <v>3</v>
      </c>
      <c r="B127" s="233" t="s">
        <v>219</v>
      </c>
      <c r="C127" s="234">
        <f>C128+C157+C160</f>
        <v>119240</v>
      </c>
      <c r="D127" s="234">
        <f t="shared" ref="D127:E127" si="41">D128+D157+D160</f>
        <v>119245</v>
      </c>
      <c r="E127" s="234">
        <f t="shared" si="41"/>
        <v>119244.42</v>
      </c>
      <c r="F127" s="259">
        <f>E127/D127*100</f>
        <v>99.999513606440516</v>
      </c>
    </row>
    <row r="128" spans="1:23" s="65" customFormat="1" x14ac:dyDescent="0.2">
      <c r="A128" s="162" t="s">
        <v>221</v>
      </c>
      <c r="B128" s="152" t="s">
        <v>227</v>
      </c>
      <c r="C128" s="153">
        <f>C129+C133+C139+C149+C151</f>
        <v>115050</v>
      </c>
      <c r="D128" s="153">
        <f t="shared" ref="D128:E128" si="42">D129+D133+D139+D149+D151</f>
        <v>115155</v>
      </c>
      <c r="E128" s="153">
        <f t="shared" si="42"/>
        <v>115155</v>
      </c>
      <c r="F128" s="260">
        <f t="shared" ref="F128:F162" si="43">E128/D128*100</f>
        <v>100</v>
      </c>
    </row>
    <row r="129" spans="1:6" s="65" customFormat="1" x14ac:dyDescent="0.2">
      <c r="A129" s="162" t="s">
        <v>125</v>
      </c>
      <c r="B129" s="152" t="s">
        <v>126</v>
      </c>
      <c r="C129" s="153">
        <f>SUM(C130:C132)</f>
        <v>7927</v>
      </c>
      <c r="D129" s="153">
        <f t="shared" ref="D129:E129" si="44">SUM(D130:D132)</f>
        <v>7970</v>
      </c>
      <c r="E129" s="153">
        <f t="shared" si="44"/>
        <v>7970.14</v>
      </c>
      <c r="F129" s="260">
        <f t="shared" si="43"/>
        <v>100.00175658720201</v>
      </c>
    </row>
    <row r="130" spans="1:6" s="65" customFormat="1" x14ac:dyDescent="0.2">
      <c r="A130" s="159" t="s">
        <v>127</v>
      </c>
      <c r="B130" s="165" t="s">
        <v>128</v>
      </c>
      <c r="C130" s="208">
        <v>6280</v>
      </c>
      <c r="D130" s="208">
        <v>6280</v>
      </c>
      <c r="E130" s="208">
        <v>6270.29</v>
      </c>
      <c r="F130" s="261">
        <f t="shared" si="43"/>
        <v>99.845382165605088</v>
      </c>
    </row>
    <row r="131" spans="1:6" s="65" customFormat="1" x14ac:dyDescent="0.2">
      <c r="A131" s="159" t="s">
        <v>131</v>
      </c>
      <c r="B131" s="165" t="s">
        <v>132</v>
      </c>
      <c r="C131" s="208">
        <v>1297</v>
      </c>
      <c r="D131" s="208">
        <v>1297</v>
      </c>
      <c r="E131" s="208">
        <v>1296.25</v>
      </c>
      <c r="F131" s="261">
        <f t="shared" si="43"/>
        <v>99.942174248265232</v>
      </c>
    </row>
    <row r="132" spans="1:6" x14ac:dyDescent="0.2">
      <c r="A132" s="160" t="s">
        <v>193</v>
      </c>
      <c r="B132" s="150" t="s">
        <v>194</v>
      </c>
      <c r="C132" s="209">
        <v>350</v>
      </c>
      <c r="D132" s="209">
        <v>393</v>
      </c>
      <c r="E132" s="209">
        <v>403.6</v>
      </c>
      <c r="F132" s="262">
        <f t="shared" si="43"/>
        <v>102.69720101781171</v>
      </c>
    </row>
    <row r="133" spans="1:6" x14ac:dyDescent="0.2">
      <c r="A133" s="162" t="s">
        <v>133</v>
      </c>
      <c r="B133" s="152" t="s">
        <v>134</v>
      </c>
      <c r="C133" s="210">
        <f>SUM(C134:C138)</f>
        <v>49108</v>
      </c>
      <c r="D133" s="210">
        <f t="shared" ref="D133:E133" si="45">SUM(D134:D138)</f>
        <v>49073</v>
      </c>
      <c r="E133" s="210">
        <f t="shared" si="45"/>
        <v>49072.829999999994</v>
      </c>
      <c r="F133" s="260">
        <f t="shared" si="43"/>
        <v>99.999653577323571</v>
      </c>
    </row>
    <row r="134" spans="1:6" x14ac:dyDescent="0.2">
      <c r="A134" s="160" t="s">
        <v>135</v>
      </c>
      <c r="B134" s="150" t="s">
        <v>136</v>
      </c>
      <c r="C134" s="209">
        <v>15073</v>
      </c>
      <c r="D134" s="209">
        <v>15038</v>
      </c>
      <c r="E134" s="209">
        <v>15318.65</v>
      </c>
      <c r="F134" s="262">
        <f t="shared" si="43"/>
        <v>101.866272110653</v>
      </c>
    </row>
    <row r="135" spans="1:6" x14ac:dyDescent="0.2">
      <c r="A135" s="160" t="s">
        <v>137</v>
      </c>
      <c r="B135" s="150" t="s">
        <v>138</v>
      </c>
      <c r="C135" s="209">
        <v>27215</v>
      </c>
      <c r="D135" s="209">
        <v>27215</v>
      </c>
      <c r="E135" s="209">
        <v>27075.759999999998</v>
      </c>
      <c r="F135" s="262">
        <f t="shared" si="43"/>
        <v>99.488370383979415</v>
      </c>
    </row>
    <row r="136" spans="1:6" x14ac:dyDescent="0.2">
      <c r="A136" s="160" t="s">
        <v>139</v>
      </c>
      <c r="B136" s="150" t="s">
        <v>140</v>
      </c>
      <c r="C136" s="209">
        <v>3370</v>
      </c>
      <c r="D136" s="209">
        <v>3370</v>
      </c>
      <c r="E136" s="209">
        <v>3341.02</v>
      </c>
      <c r="F136" s="262">
        <f t="shared" si="43"/>
        <v>99.140059347181008</v>
      </c>
    </row>
    <row r="137" spans="1:6" x14ac:dyDescent="0.2">
      <c r="A137" s="160" t="s">
        <v>141</v>
      </c>
      <c r="B137" s="150" t="s">
        <v>142</v>
      </c>
      <c r="C137" s="209">
        <v>2300</v>
      </c>
      <c r="D137" s="209">
        <v>2300</v>
      </c>
      <c r="E137" s="209">
        <v>2235.4</v>
      </c>
      <c r="F137" s="262">
        <f t="shared" si="43"/>
        <v>97.19130434782609</v>
      </c>
    </row>
    <row r="138" spans="1:6" x14ac:dyDescent="0.2">
      <c r="A138" s="160" t="s">
        <v>143</v>
      </c>
      <c r="B138" s="150" t="s">
        <v>144</v>
      </c>
      <c r="C138" s="209">
        <v>1150</v>
      </c>
      <c r="D138" s="209">
        <v>1150</v>
      </c>
      <c r="E138" s="209">
        <v>1102</v>
      </c>
      <c r="F138" s="262">
        <f t="shared" si="43"/>
        <v>95.826086956521735</v>
      </c>
    </row>
    <row r="139" spans="1:6" x14ac:dyDescent="0.2">
      <c r="A139" s="162" t="s">
        <v>145</v>
      </c>
      <c r="B139" s="152" t="s">
        <v>146</v>
      </c>
      <c r="C139" s="210">
        <f>SUM(C140:C148)</f>
        <v>48210</v>
      </c>
      <c r="D139" s="210">
        <f t="shared" ref="D139:E139" si="46">SUM(D140:D148)</f>
        <v>48314</v>
      </c>
      <c r="E139" s="210">
        <f t="shared" si="46"/>
        <v>48314.19</v>
      </c>
      <c r="F139" s="260">
        <f t="shared" si="43"/>
        <v>100.00039326075259</v>
      </c>
    </row>
    <row r="140" spans="1:6" x14ac:dyDescent="0.2">
      <c r="A140" s="160" t="s">
        <v>147</v>
      </c>
      <c r="B140" s="150" t="s">
        <v>148</v>
      </c>
      <c r="C140" s="209">
        <v>4140</v>
      </c>
      <c r="D140" s="209">
        <v>4140</v>
      </c>
      <c r="E140" s="209">
        <v>4067.81</v>
      </c>
      <c r="F140" s="262">
        <f t="shared" si="43"/>
        <v>98.256280193236705</v>
      </c>
    </row>
    <row r="141" spans="1:6" x14ac:dyDescent="0.2">
      <c r="A141" s="160" t="s">
        <v>149</v>
      </c>
      <c r="B141" s="150" t="s">
        <v>150</v>
      </c>
      <c r="C141" s="209">
        <v>26690</v>
      </c>
      <c r="D141" s="209">
        <v>26794</v>
      </c>
      <c r="E141" s="209">
        <v>27017.73</v>
      </c>
      <c r="F141" s="262">
        <f t="shared" si="43"/>
        <v>100.83500037321788</v>
      </c>
    </row>
    <row r="142" spans="1:6" x14ac:dyDescent="0.2">
      <c r="A142" s="160" t="s">
        <v>151</v>
      </c>
      <c r="B142" s="150" t="s">
        <v>152</v>
      </c>
      <c r="C142" s="209">
        <v>290</v>
      </c>
      <c r="D142" s="209">
        <v>290</v>
      </c>
      <c r="E142" s="209">
        <v>288.54000000000002</v>
      </c>
      <c r="F142" s="262">
        <f t="shared" si="43"/>
        <v>99.496551724137944</v>
      </c>
    </row>
    <row r="143" spans="1:6" x14ac:dyDescent="0.2">
      <c r="A143" s="160" t="s">
        <v>153</v>
      </c>
      <c r="B143" s="150" t="s">
        <v>154</v>
      </c>
      <c r="C143" s="209">
        <v>7400</v>
      </c>
      <c r="D143" s="209">
        <v>7400</v>
      </c>
      <c r="E143" s="209">
        <v>7250.55</v>
      </c>
      <c r="F143" s="262">
        <f t="shared" si="43"/>
        <v>97.980405405405406</v>
      </c>
    </row>
    <row r="144" spans="1:6" x14ac:dyDescent="0.2">
      <c r="A144" s="160" t="s">
        <v>155</v>
      </c>
      <c r="B144" s="150" t="s">
        <v>156</v>
      </c>
      <c r="C144" s="209">
        <v>1125</v>
      </c>
      <c r="D144" s="209">
        <v>1125</v>
      </c>
      <c r="E144" s="209">
        <v>1138.8699999999999</v>
      </c>
      <c r="F144" s="262">
        <f t="shared" si="43"/>
        <v>101.23288888888888</v>
      </c>
    </row>
    <row r="145" spans="1:6" x14ac:dyDescent="0.2">
      <c r="A145" s="160" t="s">
        <v>157</v>
      </c>
      <c r="B145" s="150" t="s">
        <v>158</v>
      </c>
      <c r="C145" s="209">
        <v>3735</v>
      </c>
      <c r="D145" s="209">
        <v>3735</v>
      </c>
      <c r="E145" s="209">
        <v>3738.57</v>
      </c>
      <c r="F145" s="262">
        <f t="shared" si="43"/>
        <v>100.09558232931728</v>
      </c>
    </row>
    <row r="146" spans="1:6" x14ac:dyDescent="0.2">
      <c r="A146" s="160" t="s">
        <v>159</v>
      </c>
      <c r="B146" s="150" t="s">
        <v>160</v>
      </c>
      <c r="C146" s="209">
        <v>130</v>
      </c>
      <c r="D146" s="209">
        <v>130</v>
      </c>
      <c r="E146" s="209">
        <v>124.42</v>
      </c>
      <c r="F146" s="262">
        <f t="shared" si="43"/>
        <v>95.707692307692298</v>
      </c>
    </row>
    <row r="147" spans="1:6" x14ac:dyDescent="0.2">
      <c r="A147" s="160" t="s">
        <v>161</v>
      </c>
      <c r="B147" s="150" t="s">
        <v>162</v>
      </c>
      <c r="C147" s="209">
        <v>660</v>
      </c>
      <c r="D147" s="209">
        <v>660</v>
      </c>
      <c r="E147" s="209">
        <v>685.39</v>
      </c>
      <c r="F147" s="262">
        <f t="shared" si="43"/>
        <v>103.84696969696969</v>
      </c>
    </row>
    <row r="148" spans="1:6" x14ac:dyDescent="0.2">
      <c r="A148" s="160" t="s">
        <v>163</v>
      </c>
      <c r="B148" s="150" t="s">
        <v>164</v>
      </c>
      <c r="C148" s="209">
        <v>4040</v>
      </c>
      <c r="D148" s="209">
        <v>4040</v>
      </c>
      <c r="E148" s="209">
        <v>4002.31</v>
      </c>
      <c r="F148" s="262">
        <f t="shared" si="43"/>
        <v>99.067079207920798</v>
      </c>
    </row>
    <row r="149" spans="1:6" x14ac:dyDescent="0.2">
      <c r="A149" s="162" t="s">
        <v>165</v>
      </c>
      <c r="B149" s="152" t="s">
        <v>166</v>
      </c>
      <c r="C149" s="210">
        <f>C150</f>
        <v>0</v>
      </c>
      <c r="D149" s="210">
        <f t="shared" ref="D149:E149" si="47">D150</f>
        <v>0</v>
      </c>
      <c r="E149" s="210">
        <f t="shared" si="47"/>
        <v>0</v>
      </c>
      <c r="F149" s="260"/>
    </row>
    <row r="150" spans="1:6" x14ac:dyDescent="0.2">
      <c r="A150" s="160" t="s">
        <v>167</v>
      </c>
      <c r="B150" s="150" t="s">
        <v>166</v>
      </c>
      <c r="C150" s="209">
        <v>0</v>
      </c>
      <c r="D150" s="209">
        <v>0</v>
      </c>
      <c r="E150" s="209">
        <v>0</v>
      </c>
      <c r="F150" s="262"/>
    </row>
    <row r="151" spans="1:6" x14ac:dyDescent="0.2">
      <c r="A151" s="162" t="s">
        <v>168</v>
      </c>
      <c r="B151" s="152" t="s">
        <v>169</v>
      </c>
      <c r="C151" s="210">
        <f>SUM(C152:C156)</f>
        <v>9805</v>
      </c>
      <c r="D151" s="210">
        <f t="shared" ref="D151:E151" si="48">SUM(D152:D156)</f>
        <v>9798</v>
      </c>
      <c r="E151" s="210">
        <f t="shared" si="48"/>
        <v>9797.84</v>
      </c>
      <c r="F151" s="260">
        <f t="shared" si="43"/>
        <v>99.998367013676258</v>
      </c>
    </row>
    <row r="152" spans="1:6" x14ac:dyDescent="0.2">
      <c r="A152" s="160" t="s">
        <v>170</v>
      </c>
      <c r="B152" s="150" t="s">
        <v>171</v>
      </c>
      <c r="C152" s="209">
        <v>4780</v>
      </c>
      <c r="D152" s="209">
        <v>4773</v>
      </c>
      <c r="E152" s="209">
        <v>4712.07</v>
      </c>
      <c r="F152" s="262">
        <f t="shared" si="43"/>
        <v>98.723444374607155</v>
      </c>
    </row>
    <row r="153" spans="1:6" x14ac:dyDescent="0.2">
      <c r="A153" s="160" t="s">
        <v>172</v>
      </c>
      <c r="B153" s="150" t="s">
        <v>173</v>
      </c>
      <c r="C153" s="209">
        <v>2000</v>
      </c>
      <c r="D153" s="209">
        <v>2000</v>
      </c>
      <c r="E153" s="209">
        <v>2092.83</v>
      </c>
      <c r="F153" s="262">
        <f t="shared" si="43"/>
        <v>104.64149999999999</v>
      </c>
    </row>
    <row r="154" spans="1:6" x14ac:dyDescent="0.2">
      <c r="A154" s="160" t="s">
        <v>174</v>
      </c>
      <c r="B154" s="150" t="s">
        <v>175</v>
      </c>
      <c r="C154" s="209">
        <v>165</v>
      </c>
      <c r="D154" s="209">
        <v>165</v>
      </c>
      <c r="E154" s="209">
        <v>163.09</v>
      </c>
      <c r="F154" s="262">
        <f t="shared" si="43"/>
        <v>98.842424242424244</v>
      </c>
    </row>
    <row r="155" spans="1:6" x14ac:dyDescent="0.2">
      <c r="A155" s="160" t="s">
        <v>176</v>
      </c>
      <c r="B155" s="150" t="s">
        <v>177</v>
      </c>
      <c r="C155" s="209">
        <v>60</v>
      </c>
      <c r="D155" s="209">
        <v>60</v>
      </c>
      <c r="E155" s="209">
        <v>23.83</v>
      </c>
      <c r="F155" s="262">
        <f t="shared" si="43"/>
        <v>39.716666666666661</v>
      </c>
    </row>
    <row r="156" spans="1:6" x14ac:dyDescent="0.2">
      <c r="A156" s="160" t="s">
        <v>178</v>
      </c>
      <c r="B156" s="150" t="s">
        <v>169</v>
      </c>
      <c r="C156" s="209">
        <v>2800</v>
      </c>
      <c r="D156" s="209">
        <v>2800</v>
      </c>
      <c r="E156" s="209">
        <v>2806.02</v>
      </c>
      <c r="F156" s="262">
        <f t="shared" si="43"/>
        <v>100.215</v>
      </c>
    </row>
    <row r="157" spans="1:6" x14ac:dyDescent="0.2">
      <c r="A157" s="162" t="s">
        <v>222</v>
      </c>
      <c r="B157" s="152" t="s">
        <v>228</v>
      </c>
      <c r="C157" s="210">
        <f>C158</f>
        <v>2270</v>
      </c>
      <c r="D157" s="210">
        <f t="shared" ref="D157:E158" si="49">D158</f>
        <v>2172</v>
      </c>
      <c r="E157" s="210">
        <f t="shared" si="49"/>
        <v>2171.7600000000002</v>
      </c>
      <c r="F157" s="260">
        <f t="shared" si="43"/>
        <v>99.988950276243102</v>
      </c>
    </row>
    <row r="158" spans="1:6" x14ac:dyDescent="0.2">
      <c r="A158" s="162" t="s">
        <v>179</v>
      </c>
      <c r="B158" s="152" t="s">
        <v>180</v>
      </c>
      <c r="C158" s="210">
        <f>C159</f>
        <v>2270</v>
      </c>
      <c r="D158" s="210">
        <f t="shared" si="49"/>
        <v>2172</v>
      </c>
      <c r="E158" s="210">
        <f t="shared" si="49"/>
        <v>2171.7600000000002</v>
      </c>
      <c r="F158" s="260">
        <f t="shared" si="43"/>
        <v>99.988950276243102</v>
      </c>
    </row>
    <row r="159" spans="1:6" x14ac:dyDescent="0.2">
      <c r="A159" s="160" t="s">
        <v>181</v>
      </c>
      <c r="B159" s="150" t="s">
        <v>182</v>
      </c>
      <c r="C159" s="209">
        <v>2270</v>
      </c>
      <c r="D159" s="209">
        <v>2172</v>
      </c>
      <c r="E159" s="209">
        <v>2171.7600000000002</v>
      </c>
      <c r="F159" s="262">
        <f t="shared" si="43"/>
        <v>99.988950276243102</v>
      </c>
    </row>
    <row r="160" spans="1:6" x14ac:dyDescent="0.2">
      <c r="A160" s="162" t="s">
        <v>224</v>
      </c>
      <c r="B160" s="152" t="s">
        <v>230</v>
      </c>
      <c r="C160" s="210">
        <f>C161</f>
        <v>1920</v>
      </c>
      <c r="D160" s="210">
        <f t="shared" ref="D160:E160" si="50">D161</f>
        <v>1918</v>
      </c>
      <c r="E160" s="210">
        <f t="shared" si="50"/>
        <v>1917.66</v>
      </c>
      <c r="F160" s="260">
        <f t="shared" si="43"/>
        <v>99.982273201251303</v>
      </c>
    </row>
    <row r="161" spans="1:23" x14ac:dyDescent="0.2">
      <c r="A161" s="162" t="s">
        <v>201</v>
      </c>
      <c r="B161" s="152" t="s">
        <v>202</v>
      </c>
      <c r="C161" s="210">
        <f>C162</f>
        <v>1920</v>
      </c>
      <c r="D161" s="210">
        <f t="shared" ref="D161:E161" si="51">D162</f>
        <v>1918</v>
      </c>
      <c r="E161" s="210">
        <f t="shared" si="51"/>
        <v>1917.66</v>
      </c>
      <c r="F161" s="260">
        <f t="shared" si="43"/>
        <v>99.982273201251303</v>
      </c>
    </row>
    <row r="162" spans="1:23" ht="13.5" thickBot="1" x14ac:dyDescent="0.25">
      <c r="A162" s="163" t="s">
        <v>203</v>
      </c>
      <c r="B162" s="154" t="s">
        <v>204</v>
      </c>
      <c r="C162" s="211">
        <v>1920</v>
      </c>
      <c r="D162" s="211">
        <v>1918</v>
      </c>
      <c r="E162" s="211">
        <v>1917.66</v>
      </c>
      <c r="F162" s="263">
        <f t="shared" si="43"/>
        <v>99.982273201251303</v>
      </c>
    </row>
    <row r="163" spans="1:23" s="139" customFormat="1" ht="13.5" thickTop="1" x14ac:dyDescent="0.2">
      <c r="A163" s="235"/>
      <c r="B163" s="236"/>
      <c r="C163" s="237"/>
      <c r="D163" s="237"/>
      <c r="E163" s="237"/>
      <c r="F163" s="264"/>
    </row>
    <row r="164" spans="1:23" s="197" customFormat="1" ht="16.5" customHeight="1" x14ac:dyDescent="0.2">
      <c r="A164" s="207" t="s">
        <v>323</v>
      </c>
      <c r="B164" s="189"/>
      <c r="C164" s="189"/>
      <c r="D164" s="189"/>
      <c r="E164" s="189"/>
      <c r="F164" s="258"/>
    </row>
    <row r="165" spans="1:23" s="197" customFormat="1" ht="12.75" customHeight="1" x14ac:dyDescent="0.2">
      <c r="A165" s="207"/>
      <c r="B165" s="189"/>
      <c r="C165" s="189"/>
      <c r="D165" s="189"/>
      <c r="E165" s="189"/>
      <c r="F165" s="258"/>
    </row>
    <row r="166" spans="1:23" s="139" customFormat="1" x14ac:dyDescent="0.2">
      <c r="A166" s="148" t="s">
        <v>347</v>
      </c>
      <c r="B166" s="138"/>
      <c r="C166" s="138"/>
      <c r="D166" s="138"/>
      <c r="E166" s="138"/>
      <c r="F166" s="240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</row>
    <row r="167" spans="1:23" s="139" customFormat="1" ht="13.5" thickBot="1" x14ac:dyDescent="0.25">
      <c r="A167" s="378"/>
      <c r="B167" s="378"/>
      <c r="C167" s="378"/>
      <c r="D167" s="378"/>
      <c r="E167" s="378"/>
      <c r="F167" s="378"/>
    </row>
    <row r="168" spans="1:23" s="139" customFormat="1" ht="39.75" thickTop="1" thickBot="1" x14ac:dyDescent="0.25">
      <c r="A168" s="155" t="s">
        <v>322</v>
      </c>
      <c r="B168" s="156" t="s">
        <v>277</v>
      </c>
      <c r="C168" s="156" t="s">
        <v>366</v>
      </c>
      <c r="D168" s="156" t="s">
        <v>367</v>
      </c>
      <c r="E168" s="156" t="s">
        <v>368</v>
      </c>
      <c r="F168" s="241" t="s">
        <v>278</v>
      </c>
    </row>
    <row r="169" spans="1:23" s="139" customFormat="1" ht="14.25" thickTop="1" thickBot="1" x14ac:dyDescent="0.25">
      <c r="A169" s="467">
        <v>1</v>
      </c>
      <c r="B169" s="468"/>
      <c r="C169" s="156">
        <v>2</v>
      </c>
      <c r="D169" s="156">
        <v>3</v>
      </c>
      <c r="E169" s="156">
        <v>4</v>
      </c>
      <c r="F169" s="241" t="s">
        <v>279</v>
      </c>
    </row>
    <row r="170" spans="1:23" ht="13.5" thickTop="1" x14ac:dyDescent="0.2">
      <c r="A170" s="162" t="s">
        <v>8</v>
      </c>
      <c r="B170" s="152" t="s">
        <v>231</v>
      </c>
      <c r="C170" s="210">
        <f>C171</f>
        <v>8840</v>
      </c>
      <c r="D170" s="210">
        <f t="shared" ref="D170:E171" si="52">D171</f>
        <v>8837</v>
      </c>
      <c r="E170" s="210">
        <f t="shared" si="52"/>
        <v>8836.5499999999993</v>
      </c>
      <c r="F170" s="260">
        <f t="shared" ref="F170:F175" si="53">E170/D170*100</f>
        <v>99.994907774131477</v>
      </c>
    </row>
    <row r="171" spans="1:23" x14ac:dyDescent="0.2">
      <c r="A171" s="162" t="s">
        <v>225</v>
      </c>
      <c r="B171" s="152" t="s">
        <v>232</v>
      </c>
      <c r="C171" s="210">
        <f>C172</f>
        <v>8840</v>
      </c>
      <c r="D171" s="210">
        <f t="shared" si="52"/>
        <v>8837</v>
      </c>
      <c r="E171" s="210">
        <f t="shared" si="52"/>
        <v>8836.5499999999993</v>
      </c>
      <c r="F171" s="260">
        <f t="shared" si="53"/>
        <v>99.994907774131477</v>
      </c>
    </row>
    <row r="172" spans="1:23" x14ac:dyDescent="0.2">
      <c r="A172" s="162" t="s">
        <v>185</v>
      </c>
      <c r="B172" s="152" t="s">
        <v>186</v>
      </c>
      <c r="C172" s="210">
        <f>SUM(C173:C175)</f>
        <v>8840</v>
      </c>
      <c r="D172" s="210">
        <f t="shared" ref="D172:E172" si="54">SUM(D173:D175)</f>
        <v>8837</v>
      </c>
      <c r="E172" s="210">
        <f t="shared" si="54"/>
        <v>8836.5499999999993</v>
      </c>
      <c r="F172" s="260">
        <f t="shared" si="53"/>
        <v>99.994907774131477</v>
      </c>
    </row>
    <row r="173" spans="1:23" x14ac:dyDescent="0.2">
      <c r="A173" s="160" t="s">
        <v>187</v>
      </c>
      <c r="B173" s="150" t="s">
        <v>188</v>
      </c>
      <c r="C173" s="209">
        <v>6940</v>
      </c>
      <c r="D173" s="209">
        <v>6940</v>
      </c>
      <c r="E173" s="209">
        <v>6939.91</v>
      </c>
      <c r="F173" s="262">
        <f t="shared" si="53"/>
        <v>99.998703170028818</v>
      </c>
    </row>
    <row r="174" spans="1:23" x14ac:dyDescent="0.2">
      <c r="A174" s="160" t="s">
        <v>205</v>
      </c>
      <c r="B174" s="150" t="s">
        <v>206</v>
      </c>
      <c r="C174" s="209">
        <v>0</v>
      </c>
      <c r="D174" s="209">
        <v>0</v>
      </c>
      <c r="E174" s="209">
        <v>0</v>
      </c>
      <c r="F174" s="262"/>
    </row>
    <row r="175" spans="1:23" ht="13.5" thickBot="1" x14ac:dyDescent="0.25">
      <c r="A175" s="163" t="s">
        <v>189</v>
      </c>
      <c r="B175" s="154" t="s">
        <v>190</v>
      </c>
      <c r="C175" s="211">
        <v>1900</v>
      </c>
      <c r="D175" s="211">
        <v>1897</v>
      </c>
      <c r="E175" s="211">
        <v>1896.64</v>
      </c>
      <c r="F175" s="263">
        <f t="shared" si="53"/>
        <v>99.98102266736953</v>
      </c>
    </row>
    <row r="176" spans="1:23" s="139" customFormat="1" ht="13.5" thickTop="1" x14ac:dyDescent="0.2">
      <c r="A176" s="235"/>
      <c r="B176" s="236"/>
      <c r="C176" s="237"/>
      <c r="D176" s="237"/>
      <c r="E176" s="237"/>
      <c r="F176" s="264"/>
    </row>
    <row r="177" spans="1:23" s="197" customFormat="1" ht="16.5" customHeight="1" x14ac:dyDescent="0.2">
      <c r="A177" s="207" t="s">
        <v>324</v>
      </c>
      <c r="B177" s="189"/>
      <c r="C177" s="189"/>
      <c r="D177" s="189"/>
      <c r="E177" s="189"/>
      <c r="F177" s="258"/>
    </row>
    <row r="178" spans="1:23" s="197" customFormat="1" ht="12.75" customHeight="1" x14ac:dyDescent="0.2">
      <c r="A178" s="207"/>
      <c r="B178" s="189"/>
      <c r="C178" s="189"/>
      <c r="D178" s="189"/>
      <c r="E178" s="189"/>
      <c r="F178" s="258"/>
    </row>
    <row r="179" spans="1:23" s="139" customFormat="1" x14ac:dyDescent="0.2">
      <c r="A179" s="148" t="s">
        <v>347</v>
      </c>
      <c r="B179" s="138"/>
      <c r="C179" s="138"/>
      <c r="D179" s="138"/>
      <c r="E179" s="138"/>
      <c r="F179" s="240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</row>
    <row r="180" spans="1:23" s="139" customFormat="1" ht="13.5" thickBot="1" x14ac:dyDescent="0.25">
      <c r="A180" s="378"/>
      <c r="B180" s="378"/>
      <c r="C180" s="378"/>
      <c r="D180" s="378"/>
      <c r="E180" s="378"/>
      <c r="F180" s="378"/>
    </row>
    <row r="181" spans="1:23" s="139" customFormat="1" ht="39.75" thickTop="1" thickBot="1" x14ac:dyDescent="0.25">
      <c r="A181" s="155" t="s">
        <v>322</v>
      </c>
      <c r="B181" s="156" t="s">
        <v>277</v>
      </c>
      <c r="C181" s="156" t="s">
        <v>366</v>
      </c>
      <c r="D181" s="156" t="s">
        <v>367</v>
      </c>
      <c r="E181" s="156" t="s">
        <v>368</v>
      </c>
      <c r="F181" s="241" t="s">
        <v>278</v>
      </c>
    </row>
    <row r="182" spans="1:23" s="139" customFormat="1" ht="14.25" thickTop="1" thickBot="1" x14ac:dyDescent="0.25">
      <c r="A182" s="467">
        <v>1</v>
      </c>
      <c r="B182" s="468"/>
      <c r="C182" s="156">
        <v>2</v>
      </c>
      <c r="D182" s="156">
        <v>3</v>
      </c>
      <c r="E182" s="156">
        <v>4</v>
      </c>
      <c r="F182" s="241" t="s">
        <v>279</v>
      </c>
    </row>
    <row r="183" spans="1:23" ht="13.5" thickTop="1" x14ac:dyDescent="0.2">
      <c r="A183" s="162" t="s">
        <v>8</v>
      </c>
      <c r="B183" s="152" t="s">
        <v>231</v>
      </c>
      <c r="C183" s="210">
        <f>C184</f>
        <v>1330</v>
      </c>
      <c r="D183" s="210">
        <f t="shared" ref="D183:E185" si="55">D184</f>
        <v>1328</v>
      </c>
      <c r="E183" s="210">
        <f t="shared" si="55"/>
        <v>1327.71</v>
      </c>
      <c r="F183" s="260">
        <f t="shared" ref="F183:F186" si="56">E183/D183*100</f>
        <v>99.978162650602414</v>
      </c>
    </row>
    <row r="184" spans="1:23" x14ac:dyDescent="0.2">
      <c r="A184" s="162" t="s">
        <v>225</v>
      </c>
      <c r="B184" s="152" t="s">
        <v>232</v>
      </c>
      <c r="C184" s="210">
        <f>C185</f>
        <v>1330</v>
      </c>
      <c r="D184" s="210">
        <f t="shared" si="55"/>
        <v>1328</v>
      </c>
      <c r="E184" s="210">
        <f t="shared" si="55"/>
        <v>1327.71</v>
      </c>
      <c r="F184" s="260">
        <f t="shared" si="56"/>
        <v>99.978162650602414</v>
      </c>
    </row>
    <row r="185" spans="1:23" x14ac:dyDescent="0.2">
      <c r="A185" s="162" t="s">
        <v>197</v>
      </c>
      <c r="B185" s="152" t="s">
        <v>198</v>
      </c>
      <c r="C185" s="210">
        <f>C186</f>
        <v>1330</v>
      </c>
      <c r="D185" s="210">
        <f t="shared" si="55"/>
        <v>1328</v>
      </c>
      <c r="E185" s="210">
        <f t="shared" si="55"/>
        <v>1327.71</v>
      </c>
      <c r="F185" s="260">
        <f t="shared" si="56"/>
        <v>99.978162650602414</v>
      </c>
    </row>
    <row r="186" spans="1:23" ht="13.5" thickBot="1" x14ac:dyDescent="0.25">
      <c r="A186" s="163" t="s">
        <v>199</v>
      </c>
      <c r="B186" s="154" t="s">
        <v>200</v>
      </c>
      <c r="C186" s="211">
        <v>1330</v>
      </c>
      <c r="D186" s="211">
        <v>1328</v>
      </c>
      <c r="E186" s="211">
        <v>1327.71</v>
      </c>
      <c r="F186" s="263">
        <f t="shared" si="56"/>
        <v>99.978162650602414</v>
      </c>
    </row>
    <row r="187" spans="1:23" s="139" customFormat="1" ht="13.5" thickTop="1" x14ac:dyDescent="0.2">
      <c r="A187" s="235"/>
      <c r="B187" s="236"/>
      <c r="C187" s="237"/>
      <c r="D187" s="237"/>
      <c r="E187" s="237"/>
      <c r="F187" s="264"/>
    </row>
    <row r="188" spans="1:23" s="197" customFormat="1" ht="16.5" customHeight="1" x14ac:dyDescent="0.2">
      <c r="A188" s="207" t="s">
        <v>325</v>
      </c>
      <c r="B188" s="189"/>
      <c r="C188" s="189"/>
      <c r="D188" s="189"/>
      <c r="E188" s="189"/>
      <c r="F188" s="258"/>
    </row>
    <row r="189" spans="1:23" s="197" customFormat="1" ht="16.5" customHeight="1" x14ac:dyDescent="0.2">
      <c r="A189" s="207" t="s">
        <v>326</v>
      </c>
      <c r="B189" s="189"/>
      <c r="C189" s="189"/>
      <c r="D189" s="189"/>
      <c r="E189" s="189"/>
      <c r="F189" s="258"/>
    </row>
    <row r="190" spans="1:23" s="197" customFormat="1" ht="12.75" customHeight="1" x14ac:dyDescent="0.2">
      <c r="A190" s="207"/>
      <c r="B190" s="189"/>
      <c r="C190" s="189"/>
      <c r="D190" s="189"/>
      <c r="E190" s="189"/>
      <c r="F190" s="258"/>
    </row>
    <row r="191" spans="1:23" s="139" customFormat="1" x14ac:dyDescent="0.2">
      <c r="A191" s="148" t="s">
        <v>348</v>
      </c>
      <c r="B191" s="138"/>
      <c r="C191" s="138"/>
      <c r="D191" s="138"/>
      <c r="E191" s="138"/>
      <c r="F191" s="240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</row>
    <row r="192" spans="1:23" s="139" customFormat="1" ht="13.5" thickBot="1" x14ac:dyDescent="0.25">
      <c r="A192" s="378"/>
      <c r="B192" s="378"/>
      <c r="C192" s="378"/>
      <c r="D192" s="378"/>
      <c r="E192" s="378"/>
      <c r="F192" s="378"/>
    </row>
    <row r="193" spans="1:6" s="139" customFormat="1" ht="39.75" thickTop="1" thickBot="1" x14ac:dyDescent="0.25">
      <c r="A193" s="155" t="s">
        <v>322</v>
      </c>
      <c r="B193" s="156" t="s">
        <v>277</v>
      </c>
      <c r="C193" s="156" t="s">
        <v>366</v>
      </c>
      <c r="D193" s="156" t="s">
        <v>367</v>
      </c>
      <c r="E193" s="156" t="s">
        <v>368</v>
      </c>
      <c r="F193" s="241" t="s">
        <v>278</v>
      </c>
    </row>
    <row r="194" spans="1:6" s="139" customFormat="1" ht="14.25" thickTop="1" thickBot="1" x14ac:dyDescent="0.25">
      <c r="A194" s="467">
        <v>1</v>
      </c>
      <c r="B194" s="468"/>
      <c r="C194" s="156">
        <v>2</v>
      </c>
      <c r="D194" s="156">
        <v>3</v>
      </c>
      <c r="E194" s="156">
        <v>4</v>
      </c>
      <c r="F194" s="241" t="s">
        <v>279</v>
      </c>
    </row>
    <row r="195" spans="1:6" ht="13.5" thickTop="1" x14ac:dyDescent="0.2">
      <c r="A195" s="162" t="s">
        <v>7</v>
      </c>
      <c r="B195" s="152" t="s">
        <v>219</v>
      </c>
      <c r="C195" s="210">
        <f>C196+C204+C216</f>
        <v>108720</v>
      </c>
      <c r="D195" s="210">
        <f>D196+D204+D216</f>
        <v>108720</v>
      </c>
      <c r="E195" s="210">
        <f>E196+E204+E216</f>
        <v>106952.74</v>
      </c>
      <c r="F195" s="260">
        <f t="shared" ref="F195:F218" si="57">E195/D195*100</f>
        <v>98.374484915378957</v>
      </c>
    </row>
    <row r="196" spans="1:6" x14ac:dyDescent="0.2">
      <c r="A196" s="162" t="s">
        <v>220</v>
      </c>
      <c r="B196" s="152" t="s">
        <v>226</v>
      </c>
      <c r="C196" s="210">
        <f>C197+C200+C202</f>
        <v>65535</v>
      </c>
      <c r="D196" s="210">
        <f t="shared" ref="D196:E196" si="58">D197+D200+D202</f>
        <v>65535</v>
      </c>
      <c r="E196" s="210">
        <f t="shared" si="58"/>
        <v>64167.840000000004</v>
      </c>
      <c r="F196" s="260">
        <f t="shared" si="57"/>
        <v>97.913847562371259</v>
      </c>
    </row>
    <row r="197" spans="1:6" x14ac:dyDescent="0.2">
      <c r="A197" s="162" t="s">
        <v>112</v>
      </c>
      <c r="B197" s="152" t="s">
        <v>113</v>
      </c>
      <c r="C197" s="210">
        <f>C198+C199</f>
        <v>54480</v>
      </c>
      <c r="D197" s="210">
        <f t="shared" ref="D197:E197" si="59">D198+D199</f>
        <v>54480</v>
      </c>
      <c r="E197" s="210">
        <f t="shared" si="59"/>
        <v>53430.66</v>
      </c>
      <c r="F197" s="260">
        <f t="shared" si="57"/>
        <v>98.07389867841411</v>
      </c>
    </row>
    <row r="198" spans="1:6" x14ac:dyDescent="0.2">
      <c r="A198" s="160" t="s">
        <v>114</v>
      </c>
      <c r="B198" s="150" t="s">
        <v>115</v>
      </c>
      <c r="C198" s="209">
        <v>54480</v>
      </c>
      <c r="D198" s="209">
        <v>54480</v>
      </c>
      <c r="E198" s="209">
        <v>53430.66</v>
      </c>
      <c r="F198" s="262">
        <f t="shared" si="57"/>
        <v>98.07389867841411</v>
      </c>
    </row>
    <row r="199" spans="1:6" s="139" customFormat="1" x14ac:dyDescent="0.2">
      <c r="A199" s="160">
        <v>3113</v>
      </c>
      <c r="B199" s="165" t="s">
        <v>349</v>
      </c>
      <c r="C199" s="209">
        <v>0</v>
      </c>
      <c r="D199" s="209">
        <v>0</v>
      </c>
      <c r="E199" s="209">
        <v>0</v>
      </c>
      <c r="F199" s="262"/>
    </row>
    <row r="200" spans="1:6" x14ac:dyDescent="0.2">
      <c r="A200" s="162" t="s">
        <v>118</v>
      </c>
      <c r="B200" s="152" t="s">
        <v>119</v>
      </c>
      <c r="C200" s="210">
        <f>C201</f>
        <v>1925</v>
      </c>
      <c r="D200" s="210">
        <f t="shared" ref="D200" si="60">D201</f>
        <v>1925</v>
      </c>
      <c r="E200" s="210">
        <f>E201</f>
        <v>1921.14</v>
      </c>
      <c r="F200" s="260">
        <f t="shared" si="57"/>
        <v>99.799480519480525</v>
      </c>
    </row>
    <row r="201" spans="1:6" x14ac:dyDescent="0.2">
      <c r="A201" s="160" t="s">
        <v>120</v>
      </c>
      <c r="B201" s="150" t="s">
        <v>119</v>
      </c>
      <c r="C201" s="209">
        <v>1925</v>
      </c>
      <c r="D201" s="209">
        <v>1925</v>
      </c>
      <c r="E201" s="209">
        <v>1921.14</v>
      </c>
      <c r="F201" s="262">
        <f t="shared" si="57"/>
        <v>99.799480519480525</v>
      </c>
    </row>
    <row r="202" spans="1:6" x14ac:dyDescent="0.2">
      <c r="A202" s="162" t="s">
        <v>121</v>
      </c>
      <c r="B202" s="152" t="s">
        <v>122</v>
      </c>
      <c r="C202" s="210">
        <f>C203</f>
        <v>9130</v>
      </c>
      <c r="D202" s="210">
        <f t="shared" ref="D202:E202" si="61">D203</f>
        <v>9130</v>
      </c>
      <c r="E202" s="210">
        <f t="shared" si="61"/>
        <v>8816.0400000000009</v>
      </c>
      <c r="F202" s="260">
        <f t="shared" si="57"/>
        <v>96.561226725082165</v>
      </c>
    </row>
    <row r="203" spans="1:6" x14ac:dyDescent="0.2">
      <c r="A203" s="160" t="s">
        <v>123</v>
      </c>
      <c r="B203" s="150" t="s">
        <v>124</v>
      </c>
      <c r="C203" s="209">
        <v>9130</v>
      </c>
      <c r="D203" s="209">
        <v>9130</v>
      </c>
      <c r="E203" s="209">
        <v>8816.0400000000009</v>
      </c>
      <c r="F203" s="262">
        <f t="shared" si="57"/>
        <v>96.561226725082165</v>
      </c>
    </row>
    <row r="204" spans="1:6" x14ac:dyDescent="0.2">
      <c r="A204" s="162" t="s">
        <v>221</v>
      </c>
      <c r="B204" s="152" t="s">
        <v>227</v>
      </c>
      <c r="C204" s="210">
        <f>C205+C208+C210+C212+C214</f>
        <v>12070</v>
      </c>
      <c r="D204" s="210">
        <f t="shared" ref="D204:E204" si="62">D205+D208+D210+D212+D214</f>
        <v>12070</v>
      </c>
      <c r="E204" s="210">
        <f t="shared" si="62"/>
        <v>11671.9</v>
      </c>
      <c r="F204" s="260">
        <f t="shared" si="57"/>
        <v>96.701739850869927</v>
      </c>
    </row>
    <row r="205" spans="1:6" x14ac:dyDescent="0.2">
      <c r="A205" s="162" t="s">
        <v>125</v>
      </c>
      <c r="B205" s="152" t="s">
        <v>126</v>
      </c>
      <c r="C205" s="210">
        <f>C206+C207</f>
        <v>2100</v>
      </c>
      <c r="D205" s="210">
        <f t="shared" ref="D205:E205" si="63">D206+D207</f>
        <v>2100</v>
      </c>
      <c r="E205" s="210">
        <f t="shared" si="63"/>
        <v>1766.93</v>
      </c>
      <c r="F205" s="260">
        <f t="shared" si="57"/>
        <v>84.139523809523808</v>
      </c>
    </row>
    <row r="206" spans="1:6" x14ac:dyDescent="0.2">
      <c r="A206" s="160" t="s">
        <v>129</v>
      </c>
      <c r="B206" s="150" t="s">
        <v>130</v>
      </c>
      <c r="C206" s="209">
        <v>1900</v>
      </c>
      <c r="D206" s="209">
        <v>1900</v>
      </c>
      <c r="E206" s="209">
        <v>1566.93</v>
      </c>
      <c r="F206" s="262">
        <f t="shared" si="57"/>
        <v>82.47</v>
      </c>
    </row>
    <row r="207" spans="1:6" s="139" customFormat="1" x14ac:dyDescent="0.2">
      <c r="A207" s="160">
        <v>3213</v>
      </c>
      <c r="B207" s="150" t="s">
        <v>374</v>
      </c>
      <c r="C207" s="209">
        <v>200</v>
      </c>
      <c r="D207" s="209">
        <v>200</v>
      </c>
      <c r="E207" s="209">
        <v>200</v>
      </c>
      <c r="F207" s="262"/>
    </row>
    <row r="208" spans="1:6" s="139" customFormat="1" x14ac:dyDescent="0.2">
      <c r="A208" s="162" t="s">
        <v>133</v>
      </c>
      <c r="B208" s="152" t="s">
        <v>134</v>
      </c>
      <c r="C208" s="210">
        <f>C209</f>
        <v>3700</v>
      </c>
      <c r="D208" s="210">
        <f t="shared" ref="D208:E208" si="64">D209</f>
        <v>4000</v>
      </c>
      <c r="E208" s="210">
        <f t="shared" si="64"/>
        <v>4000</v>
      </c>
      <c r="F208" s="260">
        <f t="shared" ref="F208:F211" si="65">E208/D208*100</f>
        <v>100</v>
      </c>
    </row>
    <row r="209" spans="1:23" s="139" customFormat="1" x14ac:dyDescent="0.2">
      <c r="A209" s="160" t="s">
        <v>137</v>
      </c>
      <c r="B209" s="150" t="s">
        <v>138</v>
      </c>
      <c r="C209" s="209">
        <v>3700</v>
      </c>
      <c r="D209" s="209">
        <v>4000</v>
      </c>
      <c r="E209" s="209">
        <v>4000</v>
      </c>
      <c r="F209" s="262">
        <f t="shared" si="65"/>
        <v>100</v>
      </c>
    </row>
    <row r="210" spans="1:23" s="139" customFormat="1" x14ac:dyDescent="0.2">
      <c r="A210" s="162" t="s">
        <v>145</v>
      </c>
      <c r="B210" s="152" t="s">
        <v>146</v>
      </c>
      <c r="C210" s="210">
        <f>C211</f>
        <v>6000</v>
      </c>
      <c r="D210" s="210">
        <f t="shared" ref="D210:E210" si="66">D211</f>
        <v>5700</v>
      </c>
      <c r="E210" s="210">
        <f t="shared" si="66"/>
        <v>5640.87</v>
      </c>
      <c r="F210" s="260">
        <f t="shared" si="65"/>
        <v>98.962631578947367</v>
      </c>
    </row>
    <row r="211" spans="1:23" s="139" customFormat="1" x14ac:dyDescent="0.2">
      <c r="A211" s="160" t="s">
        <v>149</v>
      </c>
      <c r="B211" s="150" t="s">
        <v>150</v>
      </c>
      <c r="C211" s="209">
        <v>6000</v>
      </c>
      <c r="D211" s="209">
        <v>5700</v>
      </c>
      <c r="E211" s="209">
        <v>5640.87</v>
      </c>
      <c r="F211" s="262">
        <f t="shared" si="65"/>
        <v>98.962631578947367</v>
      </c>
    </row>
    <row r="212" spans="1:23" x14ac:dyDescent="0.2">
      <c r="A212" s="162" t="s">
        <v>165</v>
      </c>
      <c r="B212" s="152" t="s">
        <v>166</v>
      </c>
      <c r="C212" s="210">
        <f>C213</f>
        <v>0</v>
      </c>
      <c r="D212" s="210">
        <f t="shared" ref="D212:E212" si="67">D213</f>
        <v>0</v>
      </c>
      <c r="E212" s="210">
        <f t="shared" si="67"/>
        <v>0</v>
      </c>
      <c r="F212" s="260" t="e">
        <f t="shared" si="57"/>
        <v>#DIV/0!</v>
      </c>
    </row>
    <row r="213" spans="1:23" x14ac:dyDescent="0.2">
      <c r="A213" s="160" t="s">
        <v>167</v>
      </c>
      <c r="B213" s="150" t="s">
        <v>166</v>
      </c>
      <c r="C213" s="209">
        <v>0</v>
      </c>
      <c r="D213" s="209">
        <v>0</v>
      </c>
      <c r="E213" s="209">
        <v>0</v>
      </c>
      <c r="F213" s="262" t="e">
        <f t="shared" si="57"/>
        <v>#DIV/0!</v>
      </c>
      <c r="G213" s="305"/>
    </row>
    <row r="214" spans="1:23" s="139" customFormat="1" x14ac:dyDescent="0.2">
      <c r="A214" s="162" t="s">
        <v>168</v>
      </c>
      <c r="B214" s="152" t="s">
        <v>169</v>
      </c>
      <c r="C214" s="210">
        <f>C215</f>
        <v>270</v>
      </c>
      <c r="D214" s="210">
        <f>SUM(D215:D215)</f>
        <v>270</v>
      </c>
      <c r="E214" s="210">
        <f>SUM(E215:E215)</f>
        <v>264.10000000000002</v>
      </c>
      <c r="F214" s="260">
        <f t="shared" si="57"/>
        <v>97.814814814814824</v>
      </c>
    </row>
    <row r="215" spans="1:23" s="139" customFormat="1" x14ac:dyDescent="0.2">
      <c r="A215" s="160" t="s">
        <v>178</v>
      </c>
      <c r="B215" s="150" t="s">
        <v>169</v>
      </c>
      <c r="C215" s="209">
        <v>270</v>
      </c>
      <c r="D215" s="209">
        <v>270</v>
      </c>
      <c r="E215" s="209">
        <v>264.10000000000002</v>
      </c>
      <c r="F215" s="262">
        <f t="shared" si="57"/>
        <v>97.814814814814824</v>
      </c>
    </row>
    <row r="216" spans="1:23" s="139" customFormat="1" x14ac:dyDescent="0.2">
      <c r="A216" s="302">
        <v>37</v>
      </c>
      <c r="B216" s="152" t="s">
        <v>350</v>
      </c>
      <c r="C216" s="271">
        <f>C217</f>
        <v>31115</v>
      </c>
      <c r="D216" s="271">
        <f t="shared" ref="D216:E217" si="68">D217</f>
        <v>31115</v>
      </c>
      <c r="E216" s="67">
        <f t="shared" si="68"/>
        <v>31113</v>
      </c>
      <c r="F216" s="111">
        <f t="shared" si="57"/>
        <v>99.993572232042425</v>
      </c>
      <c r="G216" s="306"/>
    </row>
    <row r="217" spans="1:23" s="139" customFormat="1" x14ac:dyDescent="0.2">
      <c r="A217" s="302">
        <v>372</v>
      </c>
      <c r="B217" s="152" t="s">
        <v>351</v>
      </c>
      <c r="C217" s="271">
        <f>C218</f>
        <v>31115</v>
      </c>
      <c r="D217" s="271">
        <f>D218</f>
        <v>31115</v>
      </c>
      <c r="E217" s="67">
        <f t="shared" si="68"/>
        <v>31113</v>
      </c>
      <c r="F217" s="111">
        <f t="shared" si="57"/>
        <v>99.993572232042425</v>
      </c>
      <c r="G217" s="306"/>
    </row>
    <row r="218" spans="1:23" s="139" customFormat="1" ht="13.5" thickBot="1" x14ac:dyDescent="0.25">
      <c r="A218" s="303">
        <v>3722</v>
      </c>
      <c r="B218" s="304" t="s">
        <v>352</v>
      </c>
      <c r="C218" s="272">
        <v>31115</v>
      </c>
      <c r="D218" s="272">
        <v>31115</v>
      </c>
      <c r="E218" s="73">
        <v>31113</v>
      </c>
      <c r="F218" s="127">
        <f t="shared" si="57"/>
        <v>99.993572232042425</v>
      </c>
      <c r="G218" s="307"/>
    </row>
    <row r="219" spans="1:23" s="139" customFormat="1" ht="13.5" thickTop="1" x14ac:dyDescent="0.2">
      <c r="A219" s="235"/>
      <c r="B219" s="236"/>
      <c r="C219" s="237"/>
      <c r="D219" s="237"/>
      <c r="E219" s="237"/>
      <c r="F219" s="264"/>
    </row>
    <row r="220" spans="1:23" s="139" customFormat="1" x14ac:dyDescent="0.2">
      <c r="A220" s="148" t="s">
        <v>339</v>
      </c>
      <c r="B220" s="138"/>
      <c r="C220" s="138"/>
      <c r="D220" s="138"/>
      <c r="E220" s="138"/>
      <c r="F220" s="240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</row>
    <row r="221" spans="1:23" s="139" customFormat="1" ht="13.5" thickBot="1" x14ac:dyDescent="0.25">
      <c r="A221" s="378"/>
      <c r="B221" s="378"/>
      <c r="C221" s="378"/>
      <c r="D221" s="378"/>
      <c r="E221" s="378"/>
      <c r="F221" s="378"/>
    </row>
    <row r="222" spans="1:23" s="139" customFormat="1" ht="39.75" thickTop="1" thickBot="1" x14ac:dyDescent="0.25">
      <c r="A222" s="155" t="s">
        <v>322</v>
      </c>
      <c r="B222" s="156" t="s">
        <v>277</v>
      </c>
      <c r="C222" s="156" t="s">
        <v>366</v>
      </c>
      <c r="D222" s="156" t="s">
        <v>367</v>
      </c>
      <c r="E222" s="156" t="s">
        <v>368</v>
      </c>
      <c r="F222" s="241" t="s">
        <v>278</v>
      </c>
    </row>
    <row r="223" spans="1:23" s="139" customFormat="1" ht="14.25" thickTop="1" thickBot="1" x14ac:dyDescent="0.25">
      <c r="A223" s="467">
        <v>1</v>
      </c>
      <c r="B223" s="468"/>
      <c r="C223" s="156">
        <v>2</v>
      </c>
      <c r="D223" s="156">
        <v>3</v>
      </c>
      <c r="E223" s="156">
        <v>4</v>
      </c>
      <c r="F223" s="241" t="s">
        <v>279</v>
      </c>
    </row>
    <row r="224" spans="1:23" ht="13.5" thickTop="1" x14ac:dyDescent="0.2">
      <c r="A224" s="162" t="s">
        <v>7</v>
      </c>
      <c r="B224" s="152" t="s">
        <v>219</v>
      </c>
      <c r="C224" s="210">
        <f>C225+C228+C235</f>
        <v>13900</v>
      </c>
      <c r="D224" s="210">
        <f t="shared" ref="D224:E224" si="69">D225+D228+D235</f>
        <v>13900</v>
      </c>
      <c r="E224" s="210">
        <f t="shared" si="69"/>
        <v>9460.1500000000015</v>
      </c>
      <c r="F224" s="260">
        <f t="shared" ref="F224:F237" si="70">E224/D224*100</f>
        <v>68.058633093525188</v>
      </c>
    </row>
    <row r="225" spans="1:23" s="139" customFormat="1" x14ac:dyDescent="0.2">
      <c r="A225" s="162" t="s">
        <v>220</v>
      </c>
      <c r="B225" s="152" t="s">
        <v>226</v>
      </c>
      <c r="C225" s="210">
        <f>C226</f>
        <v>1000</v>
      </c>
      <c r="D225" s="210">
        <f t="shared" ref="D225:E226" si="71">D226</f>
        <v>1000</v>
      </c>
      <c r="E225" s="210">
        <f t="shared" si="71"/>
        <v>390</v>
      </c>
      <c r="F225" s="260">
        <f t="shared" si="70"/>
        <v>39</v>
      </c>
    </row>
    <row r="226" spans="1:23" s="139" customFormat="1" x14ac:dyDescent="0.2">
      <c r="A226" s="162" t="s">
        <v>118</v>
      </c>
      <c r="B226" s="152" t="s">
        <v>119</v>
      </c>
      <c r="C226" s="210">
        <f>C227</f>
        <v>1000</v>
      </c>
      <c r="D226" s="210">
        <f t="shared" si="71"/>
        <v>1000</v>
      </c>
      <c r="E226" s="210">
        <f t="shared" si="71"/>
        <v>390</v>
      </c>
      <c r="F226" s="260">
        <f t="shared" si="70"/>
        <v>39</v>
      </c>
    </row>
    <row r="227" spans="1:23" s="139" customFormat="1" x14ac:dyDescent="0.2">
      <c r="A227" s="160" t="s">
        <v>120</v>
      </c>
      <c r="B227" s="150" t="s">
        <v>119</v>
      </c>
      <c r="C227" s="209">
        <v>1000</v>
      </c>
      <c r="D227" s="209">
        <v>1000</v>
      </c>
      <c r="E227" s="209">
        <v>390</v>
      </c>
      <c r="F227" s="262">
        <f t="shared" si="70"/>
        <v>39</v>
      </c>
    </row>
    <row r="228" spans="1:23" x14ac:dyDescent="0.2">
      <c r="A228" s="162" t="s">
        <v>221</v>
      </c>
      <c r="B228" s="152" t="s">
        <v>227</v>
      </c>
      <c r="C228" s="210">
        <f>C229+C233</f>
        <v>12899</v>
      </c>
      <c r="D228" s="210">
        <f t="shared" ref="D228:E228" si="72">D229+D233</f>
        <v>12899</v>
      </c>
      <c r="E228" s="210">
        <f t="shared" si="72"/>
        <v>9069.5400000000009</v>
      </c>
      <c r="F228" s="260">
        <f t="shared" si="70"/>
        <v>70.311962167609892</v>
      </c>
    </row>
    <row r="229" spans="1:23" s="139" customFormat="1" x14ac:dyDescent="0.2">
      <c r="A229" s="162" t="s">
        <v>133</v>
      </c>
      <c r="B229" s="152" t="s">
        <v>134</v>
      </c>
      <c r="C229" s="210">
        <f>SUM(C230:C232)</f>
        <v>10899</v>
      </c>
      <c r="D229" s="210">
        <f t="shared" ref="D229:E229" si="73">SUM(D230:D232)</f>
        <v>10899</v>
      </c>
      <c r="E229" s="210">
        <f t="shared" si="73"/>
        <v>8917.59</v>
      </c>
      <c r="F229" s="260">
        <f t="shared" si="70"/>
        <v>81.82025873933388</v>
      </c>
    </row>
    <row r="230" spans="1:23" s="139" customFormat="1" x14ac:dyDescent="0.2">
      <c r="A230" s="160" t="s">
        <v>135</v>
      </c>
      <c r="B230" s="150" t="s">
        <v>136</v>
      </c>
      <c r="C230" s="209">
        <v>4329</v>
      </c>
      <c r="D230" s="209">
        <v>4329</v>
      </c>
      <c r="E230" s="209">
        <v>5004.08</v>
      </c>
      <c r="F230" s="262">
        <f t="shared" si="70"/>
        <v>115.59436359436359</v>
      </c>
    </row>
    <row r="231" spans="1:23" s="139" customFormat="1" x14ac:dyDescent="0.2">
      <c r="A231" s="160" t="s">
        <v>137</v>
      </c>
      <c r="B231" s="150" t="s">
        <v>138</v>
      </c>
      <c r="C231" s="209">
        <v>5970</v>
      </c>
      <c r="D231" s="209">
        <v>5970</v>
      </c>
      <c r="E231" s="209">
        <v>3316.51</v>
      </c>
      <c r="F231" s="262">
        <f t="shared" si="70"/>
        <v>55.552931323283083</v>
      </c>
    </row>
    <row r="232" spans="1:23" s="139" customFormat="1" x14ac:dyDescent="0.2">
      <c r="A232" s="160" t="s">
        <v>141</v>
      </c>
      <c r="B232" s="150" t="s">
        <v>142</v>
      </c>
      <c r="C232" s="209">
        <v>600</v>
      </c>
      <c r="D232" s="209">
        <v>600</v>
      </c>
      <c r="E232" s="209">
        <v>597</v>
      </c>
      <c r="F232" s="262">
        <f t="shared" si="70"/>
        <v>99.5</v>
      </c>
    </row>
    <row r="233" spans="1:23" s="139" customFormat="1" x14ac:dyDescent="0.2">
      <c r="A233" s="162" t="s">
        <v>145</v>
      </c>
      <c r="B233" s="152" t="s">
        <v>146</v>
      </c>
      <c r="C233" s="210">
        <f>C234</f>
        <v>2000</v>
      </c>
      <c r="D233" s="210">
        <f t="shared" ref="D233:E233" si="74">D234</f>
        <v>2000</v>
      </c>
      <c r="E233" s="210">
        <f t="shared" si="74"/>
        <v>151.94999999999999</v>
      </c>
      <c r="F233" s="260">
        <f t="shared" si="70"/>
        <v>7.5975000000000001</v>
      </c>
    </row>
    <row r="234" spans="1:23" s="139" customFormat="1" x14ac:dyDescent="0.2">
      <c r="A234" s="160" t="s">
        <v>159</v>
      </c>
      <c r="B234" s="150" t="s">
        <v>160</v>
      </c>
      <c r="C234" s="209">
        <v>2000</v>
      </c>
      <c r="D234" s="209">
        <v>2000</v>
      </c>
      <c r="E234" s="209">
        <v>151.94999999999999</v>
      </c>
      <c r="F234" s="262">
        <f t="shared" si="70"/>
        <v>7.5975000000000001</v>
      </c>
    </row>
    <row r="235" spans="1:23" s="139" customFormat="1" x14ac:dyDescent="0.2">
      <c r="A235" s="162" t="s">
        <v>224</v>
      </c>
      <c r="B235" s="152" t="s">
        <v>230</v>
      </c>
      <c r="C235" s="210">
        <f>C236</f>
        <v>1</v>
      </c>
      <c r="D235" s="210">
        <f t="shared" ref="D235:E236" si="75">D236</f>
        <v>1</v>
      </c>
      <c r="E235" s="210">
        <f t="shared" si="75"/>
        <v>0.61</v>
      </c>
      <c r="F235" s="260">
        <f t="shared" si="70"/>
        <v>61</v>
      </c>
    </row>
    <row r="236" spans="1:23" s="139" customFormat="1" x14ac:dyDescent="0.2">
      <c r="A236" s="162">
        <v>381</v>
      </c>
      <c r="B236" s="152" t="s">
        <v>375</v>
      </c>
      <c r="C236" s="210">
        <f>C237</f>
        <v>1</v>
      </c>
      <c r="D236" s="210">
        <f t="shared" si="75"/>
        <v>1</v>
      </c>
      <c r="E236" s="210">
        <f t="shared" si="75"/>
        <v>0.61</v>
      </c>
      <c r="F236" s="260">
        <f t="shared" si="70"/>
        <v>61</v>
      </c>
    </row>
    <row r="237" spans="1:23" s="139" customFormat="1" ht="13.5" thickBot="1" x14ac:dyDescent="0.25">
      <c r="A237" s="163">
        <v>3812</v>
      </c>
      <c r="B237" s="154" t="s">
        <v>376</v>
      </c>
      <c r="C237" s="211">
        <v>1</v>
      </c>
      <c r="D237" s="211">
        <v>1</v>
      </c>
      <c r="E237" s="211">
        <v>0.61</v>
      </c>
      <c r="F237" s="263">
        <f t="shared" si="70"/>
        <v>61</v>
      </c>
    </row>
    <row r="238" spans="1:23" s="139" customFormat="1" ht="13.5" thickTop="1" x14ac:dyDescent="0.2">
      <c r="A238" s="235"/>
      <c r="B238" s="236"/>
      <c r="C238" s="237"/>
      <c r="D238" s="237"/>
      <c r="E238" s="237"/>
      <c r="F238" s="264"/>
    </row>
    <row r="239" spans="1:23" s="139" customFormat="1" x14ac:dyDescent="0.2">
      <c r="A239" s="148" t="s">
        <v>355</v>
      </c>
      <c r="B239" s="266"/>
      <c r="C239" s="266"/>
      <c r="D239" s="266"/>
      <c r="E239" s="266"/>
      <c r="F239" s="240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</row>
    <row r="240" spans="1:23" s="139" customFormat="1" ht="13.5" thickBot="1" x14ac:dyDescent="0.25">
      <c r="A240" s="378"/>
      <c r="B240" s="378"/>
      <c r="C240" s="378"/>
      <c r="D240" s="378"/>
      <c r="E240" s="378"/>
      <c r="F240" s="378"/>
    </row>
    <row r="241" spans="1:23" s="139" customFormat="1" ht="39.75" thickTop="1" thickBot="1" x14ac:dyDescent="0.25">
      <c r="A241" s="155" t="s">
        <v>322</v>
      </c>
      <c r="B241" s="156" t="s">
        <v>277</v>
      </c>
      <c r="C241" s="156" t="s">
        <v>366</v>
      </c>
      <c r="D241" s="156" t="s">
        <v>367</v>
      </c>
      <c r="E241" s="156" t="s">
        <v>368</v>
      </c>
      <c r="F241" s="241" t="s">
        <v>278</v>
      </c>
    </row>
    <row r="242" spans="1:23" s="139" customFormat="1" ht="14.25" thickTop="1" thickBot="1" x14ac:dyDescent="0.25">
      <c r="A242" s="467">
        <v>1</v>
      </c>
      <c r="B242" s="468"/>
      <c r="C242" s="156">
        <v>2</v>
      </c>
      <c r="D242" s="156">
        <v>3</v>
      </c>
      <c r="E242" s="156">
        <v>4</v>
      </c>
      <c r="F242" s="241" t="s">
        <v>279</v>
      </c>
    </row>
    <row r="243" spans="1:23" s="139" customFormat="1" ht="13.5" thickTop="1" x14ac:dyDescent="0.2">
      <c r="A243" s="162" t="s">
        <v>7</v>
      </c>
      <c r="B243" s="152" t="s">
        <v>219</v>
      </c>
      <c r="C243" s="210">
        <f>C244</f>
        <v>4707</v>
      </c>
      <c r="D243" s="210">
        <f t="shared" ref="D243:E243" si="76">D244</f>
        <v>4707</v>
      </c>
      <c r="E243" s="210">
        <f t="shared" si="76"/>
        <v>29</v>
      </c>
      <c r="F243" s="260">
        <f t="shared" ref="F243:F251" si="77">E243/D243*100</f>
        <v>0.61610367537709798</v>
      </c>
    </row>
    <row r="244" spans="1:23" s="139" customFormat="1" x14ac:dyDescent="0.2">
      <c r="A244" s="162" t="s">
        <v>221</v>
      </c>
      <c r="B244" s="152" t="s">
        <v>227</v>
      </c>
      <c r="C244" s="210">
        <f>C245+C248+C250</f>
        <v>4707</v>
      </c>
      <c r="D244" s="210">
        <f t="shared" ref="D244:E244" si="78">D245+D248+D250</f>
        <v>4707</v>
      </c>
      <c r="E244" s="210">
        <f t="shared" si="78"/>
        <v>29</v>
      </c>
      <c r="F244" s="260">
        <f t="shared" si="77"/>
        <v>0.61610367537709798</v>
      </c>
    </row>
    <row r="245" spans="1:23" s="139" customFormat="1" x14ac:dyDescent="0.2">
      <c r="A245" s="162" t="s">
        <v>133</v>
      </c>
      <c r="B245" s="152" t="s">
        <v>134</v>
      </c>
      <c r="C245" s="210">
        <f>SUM(C246:C247)</f>
        <v>2200</v>
      </c>
      <c r="D245" s="210">
        <f t="shared" ref="D245:E245" si="79">SUM(D246:D247)</f>
        <v>2200</v>
      </c>
      <c r="E245" s="210">
        <f t="shared" si="79"/>
        <v>29</v>
      </c>
      <c r="F245" s="260">
        <f t="shared" si="77"/>
        <v>1.3181818181818181</v>
      </c>
    </row>
    <row r="246" spans="1:23" s="139" customFormat="1" x14ac:dyDescent="0.2">
      <c r="A246" s="160" t="s">
        <v>135</v>
      </c>
      <c r="B246" s="150" t="s">
        <v>136</v>
      </c>
      <c r="C246" s="209">
        <v>2200</v>
      </c>
      <c r="D246" s="209">
        <v>2200</v>
      </c>
      <c r="E246" s="209">
        <v>29</v>
      </c>
      <c r="F246" s="262">
        <f t="shared" si="77"/>
        <v>1.3181818181818181</v>
      </c>
    </row>
    <row r="247" spans="1:23" s="139" customFormat="1" x14ac:dyDescent="0.2">
      <c r="A247" s="160" t="s">
        <v>137</v>
      </c>
      <c r="B247" s="150" t="s">
        <v>138</v>
      </c>
      <c r="C247" s="209">
        <v>0</v>
      </c>
      <c r="D247" s="209">
        <v>0</v>
      </c>
      <c r="E247" s="209">
        <v>0</v>
      </c>
      <c r="F247" s="262" t="e">
        <f t="shared" si="77"/>
        <v>#DIV/0!</v>
      </c>
    </row>
    <row r="248" spans="1:23" s="139" customFormat="1" x14ac:dyDescent="0.2">
      <c r="A248" s="162" t="s">
        <v>145</v>
      </c>
      <c r="B248" s="152" t="s">
        <v>146</v>
      </c>
      <c r="C248" s="210">
        <f>C249</f>
        <v>2407</v>
      </c>
      <c r="D248" s="210">
        <f t="shared" ref="D248" si="80">D249</f>
        <v>2407</v>
      </c>
      <c r="E248" s="210">
        <f t="shared" ref="E248" si="81">E249</f>
        <v>0</v>
      </c>
      <c r="F248" s="260">
        <f t="shared" si="77"/>
        <v>0</v>
      </c>
    </row>
    <row r="249" spans="1:23" s="139" customFormat="1" x14ac:dyDescent="0.2">
      <c r="A249" s="160" t="s">
        <v>149</v>
      </c>
      <c r="B249" s="150" t="s">
        <v>150</v>
      </c>
      <c r="C249" s="209">
        <v>2407</v>
      </c>
      <c r="D249" s="209">
        <v>2407</v>
      </c>
      <c r="E249" s="209">
        <v>0</v>
      </c>
      <c r="F249" s="262">
        <f t="shared" si="77"/>
        <v>0</v>
      </c>
    </row>
    <row r="250" spans="1:23" s="139" customFormat="1" x14ac:dyDescent="0.2">
      <c r="A250" s="162" t="s">
        <v>168</v>
      </c>
      <c r="B250" s="152" t="s">
        <v>169</v>
      </c>
      <c r="C250" s="210">
        <f>C251</f>
        <v>100</v>
      </c>
      <c r="D250" s="210">
        <f>SUM(D251:D251)</f>
        <v>100</v>
      </c>
      <c r="E250" s="210">
        <f>SUM(E251:E251)</f>
        <v>0</v>
      </c>
      <c r="F250" s="260">
        <f t="shared" si="77"/>
        <v>0</v>
      </c>
    </row>
    <row r="251" spans="1:23" s="139" customFormat="1" ht="13.5" thickBot="1" x14ac:dyDescent="0.25">
      <c r="A251" s="163" t="s">
        <v>178</v>
      </c>
      <c r="B251" s="154" t="s">
        <v>169</v>
      </c>
      <c r="C251" s="211">
        <v>100</v>
      </c>
      <c r="D251" s="211">
        <v>100</v>
      </c>
      <c r="E251" s="211">
        <v>0</v>
      </c>
      <c r="F251" s="263">
        <f t="shared" si="77"/>
        <v>0</v>
      </c>
    </row>
    <row r="252" spans="1:23" s="139" customFormat="1" ht="13.5" thickTop="1" x14ac:dyDescent="0.2">
      <c r="A252" s="235"/>
      <c r="B252" s="236"/>
      <c r="C252" s="237"/>
      <c r="D252" s="237"/>
      <c r="E252" s="237"/>
      <c r="F252" s="264"/>
    </row>
    <row r="253" spans="1:23" s="139" customFormat="1" x14ac:dyDescent="0.2">
      <c r="A253" s="148" t="s">
        <v>340</v>
      </c>
      <c r="B253" s="138"/>
      <c r="C253" s="138"/>
      <c r="D253" s="138"/>
      <c r="E253" s="138"/>
      <c r="F253" s="240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</row>
    <row r="254" spans="1:23" s="139" customFormat="1" ht="13.5" thickBot="1" x14ac:dyDescent="0.25">
      <c r="A254" s="378"/>
      <c r="B254" s="378"/>
      <c r="C254" s="378"/>
      <c r="D254" s="378"/>
      <c r="E254" s="378"/>
      <c r="F254" s="378"/>
    </row>
    <row r="255" spans="1:23" s="139" customFormat="1" ht="39.75" thickTop="1" thickBot="1" x14ac:dyDescent="0.25">
      <c r="A255" s="155" t="s">
        <v>322</v>
      </c>
      <c r="B255" s="156" t="s">
        <v>277</v>
      </c>
      <c r="C255" s="156" t="s">
        <v>366</v>
      </c>
      <c r="D255" s="156" t="s">
        <v>367</v>
      </c>
      <c r="E255" s="156" t="s">
        <v>368</v>
      </c>
      <c r="F255" s="241" t="s">
        <v>278</v>
      </c>
    </row>
    <row r="256" spans="1:23" s="139" customFormat="1" ht="14.25" thickTop="1" thickBot="1" x14ac:dyDescent="0.25">
      <c r="A256" s="467">
        <v>1</v>
      </c>
      <c r="B256" s="468"/>
      <c r="C256" s="156">
        <v>2</v>
      </c>
      <c r="D256" s="156">
        <v>3</v>
      </c>
      <c r="E256" s="156">
        <v>4</v>
      </c>
      <c r="F256" s="241" t="s">
        <v>279</v>
      </c>
    </row>
    <row r="257" spans="1:6" ht="13.5" thickTop="1" x14ac:dyDescent="0.2">
      <c r="A257" s="162" t="s">
        <v>7</v>
      </c>
      <c r="B257" s="152" t="s">
        <v>219</v>
      </c>
      <c r="C257" s="210">
        <f>C258+C264</f>
        <v>37720</v>
      </c>
      <c r="D257" s="210">
        <f t="shared" ref="D257:E257" si="82">D258+D264</f>
        <v>37720</v>
      </c>
      <c r="E257" s="210">
        <f t="shared" si="82"/>
        <v>27554.989999999998</v>
      </c>
      <c r="F257" s="260">
        <f t="shared" ref="F257:F274" si="83">E257/D257*100</f>
        <v>73.051405090137848</v>
      </c>
    </row>
    <row r="258" spans="1:6" s="139" customFormat="1" x14ac:dyDescent="0.2">
      <c r="A258" s="162" t="s">
        <v>220</v>
      </c>
      <c r="B258" s="152" t="s">
        <v>226</v>
      </c>
      <c r="C258" s="210">
        <f>C259+C261</f>
        <v>0</v>
      </c>
      <c r="D258" s="210">
        <f t="shared" ref="D258:E258" si="84">D259+D261</f>
        <v>0</v>
      </c>
      <c r="E258" s="210">
        <f t="shared" si="84"/>
        <v>0</v>
      </c>
      <c r="F258" s="260" t="e">
        <f t="shared" si="83"/>
        <v>#DIV/0!</v>
      </c>
    </row>
    <row r="259" spans="1:6" s="139" customFormat="1" x14ac:dyDescent="0.2">
      <c r="A259" s="162" t="s">
        <v>112</v>
      </c>
      <c r="B259" s="152" t="s">
        <v>113</v>
      </c>
      <c r="C259" s="210">
        <f>C260</f>
        <v>0</v>
      </c>
      <c r="D259" s="210">
        <f t="shared" ref="D259:E259" si="85">D260</f>
        <v>0</v>
      </c>
      <c r="E259" s="210">
        <f t="shared" si="85"/>
        <v>0</v>
      </c>
      <c r="F259" s="260" t="e">
        <f t="shared" si="83"/>
        <v>#DIV/0!</v>
      </c>
    </row>
    <row r="260" spans="1:6" s="139" customFormat="1" x14ac:dyDescent="0.2">
      <c r="A260" s="160" t="s">
        <v>114</v>
      </c>
      <c r="B260" s="150" t="s">
        <v>115</v>
      </c>
      <c r="C260" s="209">
        <v>0</v>
      </c>
      <c r="D260" s="209">
        <v>0</v>
      </c>
      <c r="E260" s="209">
        <v>0</v>
      </c>
      <c r="F260" s="262" t="e">
        <f t="shared" si="83"/>
        <v>#DIV/0!</v>
      </c>
    </row>
    <row r="261" spans="1:6" s="139" customFormat="1" x14ac:dyDescent="0.2">
      <c r="A261" s="162" t="s">
        <v>121</v>
      </c>
      <c r="B261" s="152" t="s">
        <v>122</v>
      </c>
      <c r="C261" s="210">
        <f>C262+C263</f>
        <v>0</v>
      </c>
      <c r="D261" s="210">
        <f t="shared" ref="D261:E261" si="86">D262+D263</f>
        <v>0</v>
      </c>
      <c r="E261" s="210">
        <f t="shared" si="86"/>
        <v>0</v>
      </c>
      <c r="F261" s="260" t="e">
        <f t="shared" ref="F261:F262" si="87">E261/D261*100</f>
        <v>#DIV/0!</v>
      </c>
    </row>
    <row r="262" spans="1:6" s="139" customFormat="1" x14ac:dyDescent="0.2">
      <c r="A262" s="160" t="s">
        <v>123</v>
      </c>
      <c r="B262" s="150" t="s">
        <v>124</v>
      </c>
      <c r="C262" s="209">
        <v>0</v>
      </c>
      <c r="D262" s="209">
        <v>0</v>
      </c>
      <c r="E262" s="209">
        <v>0</v>
      </c>
      <c r="F262" s="262" t="e">
        <f t="shared" si="87"/>
        <v>#DIV/0!</v>
      </c>
    </row>
    <row r="263" spans="1:6" s="139" customFormat="1" x14ac:dyDescent="0.2">
      <c r="A263" s="160">
        <v>3133</v>
      </c>
      <c r="B263" s="165" t="s">
        <v>353</v>
      </c>
      <c r="C263" s="209">
        <v>0</v>
      </c>
      <c r="D263" s="209">
        <v>0</v>
      </c>
      <c r="E263" s="209">
        <v>0</v>
      </c>
      <c r="F263" s="262"/>
    </row>
    <row r="264" spans="1:6" x14ac:dyDescent="0.2">
      <c r="A264" s="162" t="s">
        <v>221</v>
      </c>
      <c r="B264" s="152" t="s">
        <v>227</v>
      </c>
      <c r="C264" s="210">
        <f>C265+C269+C271+C273</f>
        <v>37720</v>
      </c>
      <c r="D264" s="210">
        <f t="shared" ref="D264:E264" si="88">D265+D269+D271+D273</f>
        <v>37720</v>
      </c>
      <c r="E264" s="210">
        <f t="shared" si="88"/>
        <v>27554.989999999998</v>
      </c>
      <c r="F264" s="260">
        <f t="shared" si="83"/>
        <v>73.051405090137848</v>
      </c>
    </row>
    <row r="265" spans="1:6" x14ac:dyDescent="0.2">
      <c r="A265" s="162" t="s">
        <v>133</v>
      </c>
      <c r="B265" s="152" t="s">
        <v>134</v>
      </c>
      <c r="C265" s="210">
        <f>SUM(C266:C268)</f>
        <v>25440</v>
      </c>
      <c r="D265" s="210">
        <f t="shared" ref="D265:E265" si="89">SUM(D266:D268)</f>
        <v>25440</v>
      </c>
      <c r="E265" s="210">
        <f t="shared" si="89"/>
        <v>23175.579999999998</v>
      </c>
      <c r="F265" s="260">
        <f t="shared" si="83"/>
        <v>91.098977987421378</v>
      </c>
    </row>
    <row r="266" spans="1:6" x14ac:dyDescent="0.2">
      <c r="A266" s="160" t="s">
        <v>135</v>
      </c>
      <c r="B266" s="150" t="s">
        <v>136</v>
      </c>
      <c r="C266" s="209">
        <v>1300</v>
      </c>
      <c r="D266" s="209">
        <v>1300</v>
      </c>
      <c r="E266" s="209">
        <v>1910.53</v>
      </c>
      <c r="F266" s="262">
        <f t="shared" si="83"/>
        <v>146.96384615384613</v>
      </c>
    </row>
    <row r="267" spans="1:6" x14ac:dyDescent="0.2">
      <c r="A267" s="160" t="s">
        <v>195</v>
      </c>
      <c r="B267" s="150" t="s">
        <v>196</v>
      </c>
      <c r="C267" s="209">
        <v>23480</v>
      </c>
      <c r="D267" s="209">
        <v>23480</v>
      </c>
      <c r="E267" s="209">
        <v>21265.05</v>
      </c>
      <c r="F267" s="262">
        <f t="shared" si="83"/>
        <v>90.566652470187393</v>
      </c>
    </row>
    <row r="268" spans="1:6" x14ac:dyDescent="0.2">
      <c r="A268" s="160" t="s">
        <v>139</v>
      </c>
      <c r="B268" s="150" t="s">
        <v>140</v>
      </c>
      <c r="C268" s="209">
        <v>660</v>
      </c>
      <c r="D268" s="209">
        <v>660</v>
      </c>
      <c r="E268" s="209">
        <v>0</v>
      </c>
      <c r="F268" s="262">
        <f t="shared" si="83"/>
        <v>0</v>
      </c>
    </row>
    <row r="269" spans="1:6" s="139" customFormat="1" x14ac:dyDescent="0.2">
      <c r="A269" s="162" t="s">
        <v>145</v>
      </c>
      <c r="B269" s="152" t="s">
        <v>146</v>
      </c>
      <c r="C269" s="210">
        <f>C270</f>
        <v>9620</v>
      </c>
      <c r="D269" s="210">
        <f t="shared" ref="D269:E269" si="90">D270</f>
        <v>9620</v>
      </c>
      <c r="E269" s="210">
        <f t="shared" si="90"/>
        <v>1951.69</v>
      </c>
      <c r="F269" s="260">
        <f t="shared" si="83"/>
        <v>20.287837837837838</v>
      </c>
    </row>
    <row r="270" spans="1:6" s="139" customFormat="1" x14ac:dyDescent="0.2">
      <c r="A270" s="160" t="s">
        <v>149</v>
      </c>
      <c r="B270" s="150" t="s">
        <v>150</v>
      </c>
      <c r="C270" s="209">
        <v>9620</v>
      </c>
      <c r="D270" s="209">
        <v>9620</v>
      </c>
      <c r="E270" s="209">
        <v>1951.69</v>
      </c>
      <c r="F270" s="262">
        <f t="shared" si="83"/>
        <v>20.287837837837838</v>
      </c>
    </row>
    <row r="271" spans="1:6" x14ac:dyDescent="0.2">
      <c r="A271" s="162" t="s">
        <v>165</v>
      </c>
      <c r="B271" s="152" t="s">
        <v>166</v>
      </c>
      <c r="C271" s="210">
        <f>C272</f>
        <v>260</v>
      </c>
      <c r="D271" s="210">
        <f t="shared" ref="D271:E271" si="91">D272</f>
        <v>260</v>
      </c>
      <c r="E271" s="210">
        <f t="shared" si="91"/>
        <v>0</v>
      </c>
      <c r="F271" s="260">
        <f t="shared" si="83"/>
        <v>0</v>
      </c>
    </row>
    <row r="272" spans="1:6" x14ac:dyDescent="0.2">
      <c r="A272" s="160" t="s">
        <v>167</v>
      </c>
      <c r="B272" s="150" t="s">
        <v>166</v>
      </c>
      <c r="C272" s="209">
        <v>260</v>
      </c>
      <c r="D272" s="209">
        <v>260</v>
      </c>
      <c r="E272" s="209">
        <v>0</v>
      </c>
      <c r="F272" s="262">
        <f t="shared" si="83"/>
        <v>0</v>
      </c>
    </row>
    <row r="273" spans="1:23" x14ac:dyDescent="0.2">
      <c r="A273" s="162" t="s">
        <v>168</v>
      </c>
      <c r="B273" s="152" t="s">
        <v>169</v>
      </c>
      <c r="C273" s="210">
        <f>C274</f>
        <v>2400</v>
      </c>
      <c r="D273" s="210">
        <f t="shared" ref="D273:E273" si="92">D274</f>
        <v>2400</v>
      </c>
      <c r="E273" s="210">
        <f t="shared" si="92"/>
        <v>2427.7199999999998</v>
      </c>
      <c r="F273" s="260">
        <f t="shared" si="83"/>
        <v>101.155</v>
      </c>
    </row>
    <row r="274" spans="1:23" ht="13.5" thickBot="1" x14ac:dyDescent="0.25">
      <c r="A274" s="163" t="s">
        <v>178</v>
      </c>
      <c r="B274" s="154" t="s">
        <v>169</v>
      </c>
      <c r="C274" s="211">
        <v>2400</v>
      </c>
      <c r="D274" s="211">
        <v>2400</v>
      </c>
      <c r="E274" s="211">
        <v>2427.7199999999998</v>
      </c>
      <c r="F274" s="263">
        <f t="shared" si="83"/>
        <v>101.155</v>
      </c>
    </row>
    <row r="275" spans="1:23" s="139" customFormat="1" ht="13.5" thickTop="1" x14ac:dyDescent="0.2">
      <c r="A275" s="235"/>
      <c r="B275" s="236"/>
      <c r="C275" s="237"/>
      <c r="D275" s="237"/>
      <c r="E275" s="237"/>
      <c r="F275" s="264"/>
    </row>
    <row r="276" spans="1:23" s="139" customFormat="1" x14ac:dyDescent="0.2">
      <c r="A276" s="148" t="s">
        <v>354</v>
      </c>
      <c r="B276" s="138"/>
      <c r="C276" s="138"/>
      <c r="D276" s="138"/>
      <c r="E276" s="138"/>
      <c r="F276" s="240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</row>
    <row r="277" spans="1:23" s="139" customFormat="1" ht="13.5" thickBot="1" x14ac:dyDescent="0.25">
      <c r="A277" s="378"/>
      <c r="B277" s="378"/>
      <c r="C277" s="378"/>
      <c r="D277" s="378"/>
      <c r="E277" s="378"/>
      <c r="F277" s="378"/>
    </row>
    <row r="278" spans="1:23" s="139" customFormat="1" ht="39.75" thickTop="1" thickBot="1" x14ac:dyDescent="0.25">
      <c r="A278" s="155" t="s">
        <v>322</v>
      </c>
      <c r="B278" s="156" t="s">
        <v>277</v>
      </c>
      <c r="C278" s="156" t="s">
        <v>366</v>
      </c>
      <c r="D278" s="156" t="s">
        <v>367</v>
      </c>
      <c r="E278" s="156" t="s">
        <v>368</v>
      </c>
      <c r="F278" s="241" t="s">
        <v>278</v>
      </c>
    </row>
    <row r="279" spans="1:23" s="139" customFormat="1" ht="14.25" thickTop="1" thickBot="1" x14ac:dyDescent="0.25">
      <c r="A279" s="467">
        <v>1</v>
      </c>
      <c r="B279" s="468"/>
      <c r="C279" s="156">
        <v>2</v>
      </c>
      <c r="D279" s="156">
        <v>3</v>
      </c>
      <c r="E279" s="156">
        <v>4</v>
      </c>
      <c r="F279" s="241" t="s">
        <v>279</v>
      </c>
    </row>
    <row r="280" spans="1:23" s="139" customFormat="1" ht="13.5" thickTop="1" x14ac:dyDescent="0.2">
      <c r="A280" s="162" t="s">
        <v>7</v>
      </c>
      <c r="B280" s="152" t="s">
        <v>219</v>
      </c>
      <c r="C280" s="210">
        <f>C281</f>
        <v>12647</v>
      </c>
      <c r="D280" s="210">
        <f t="shared" ref="D280:E280" si="93">D281</f>
        <v>12647</v>
      </c>
      <c r="E280" s="210">
        <f t="shared" si="93"/>
        <v>865.4</v>
      </c>
      <c r="F280" s="260">
        <f t="shared" ref="F280:F288" si="94">E280/D280*100</f>
        <v>6.8427295010674456</v>
      </c>
    </row>
    <row r="281" spans="1:23" s="139" customFormat="1" x14ac:dyDescent="0.2">
      <c r="A281" s="162" t="s">
        <v>221</v>
      </c>
      <c r="B281" s="152" t="s">
        <v>227</v>
      </c>
      <c r="C281" s="210">
        <f>C282+C285+C287</f>
        <v>12647</v>
      </c>
      <c r="D281" s="210">
        <f t="shared" ref="D281:E281" si="95">D282+D285+D287</f>
        <v>12647</v>
      </c>
      <c r="E281" s="210">
        <f t="shared" si="95"/>
        <v>865.4</v>
      </c>
      <c r="F281" s="260">
        <f t="shared" si="94"/>
        <v>6.8427295010674456</v>
      </c>
    </row>
    <row r="282" spans="1:23" s="139" customFormat="1" x14ac:dyDescent="0.2">
      <c r="A282" s="162" t="s">
        <v>133</v>
      </c>
      <c r="B282" s="152" t="s">
        <v>134</v>
      </c>
      <c r="C282" s="210">
        <f>SUM(C283:C284)</f>
        <v>5647</v>
      </c>
      <c r="D282" s="210">
        <f t="shared" ref="D282:E282" si="96">SUM(D283:D284)</f>
        <v>5647</v>
      </c>
      <c r="E282" s="210">
        <f t="shared" si="96"/>
        <v>865.4</v>
      </c>
      <c r="F282" s="260">
        <f t="shared" si="94"/>
        <v>15.324951301576057</v>
      </c>
    </row>
    <row r="283" spans="1:23" s="139" customFormat="1" x14ac:dyDescent="0.2">
      <c r="A283" s="160" t="s">
        <v>137</v>
      </c>
      <c r="B283" s="150" t="s">
        <v>138</v>
      </c>
      <c r="C283" s="209">
        <v>2647</v>
      </c>
      <c r="D283" s="209">
        <v>2647</v>
      </c>
      <c r="E283" s="209">
        <v>0</v>
      </c>
      <c r="F283" s="262">
        <f t="shared" si="94"/>
        <v>0</v>
      </c>
    </row>
    <row r="284" spans="1:23" s="139" customFormat="1" x14ac:dyDescent="0.2">
      <c r="A284" s="160" t="s">
        <v>141</v>
      </c>
      <c r="B284" s="150" t="s">
        <v>142</v>
      </c>
      <c r="C284" s="209">
        <v>3000</v>
      </c>
      <c r="D284" s="209">
        <v>3000</v>
      </c>
      <c r="E284" s="209">
        <v>865.4</v>
      </c>
      <c r="F284" s="262">
        <f t="shared" si="94"/>
        <v>28.846666666666664</v>
      </c>
    </row>
    <row r="285" spans="1:23" s="139" customFormat="1" x14ac:dyDescent="0.2">
      <c r="A285" s="162" t="s">
        <v>145</v>
      </c>
      <c r="B285" s="152" t="s">
        <v>146</v>
      </c>
      <c r="C285" s="210">
        <f>C286</f>
        <v>7000</v>
      </c>
      <c r="D285" s="210">
        <f t="shared" ref="D285:E285" si="97">D286</f>
        <v>7000</v>
      </c>
      <c r="E285" s="210">
        <f t="shared" si="97"/>
        <v>0</v>
      </c>
      <c r="F285" s="260">
        <f t="shared" si="94"/>
        <v>0</v>
      </c>
    </row>
    <row r="286" spans="1:23" s="139" customFormat="1" x14ac:dyDescent="0.2">
      <c r="A286" s="160" t="s">
        <v>149</v>
      </c>
      <c r="B286" s="150" t="s">
        <v>150</v>
      </c>
      <c r="C286" s="209">
        <v>7000</v>
      </c>
      <c r="D286" s="209">
        <v>7000</v>
      </c>
      <c r="E286" s="209">
        <v>0</v>
      </c>
      <c r="F286" s="262">
        <f t="shared" si="94"/>
        <v>0</v>
      </c>
    </row>
    <row r="287" spans="1:23" s="139" customFormat="1" x14ac:dyDescent="0.2">
      <c r="A287" s="162" t="s">
        <v>168</v>
      </c>
      <c r="B287" s="152" t="s">
        <v>169</v>
      </c>
      <c r="C287" s="210">
        <f>C288</f>
        <v>0</v>
      </c>
      <c r="D287" s="210">
        <f t="shared" ref="D287:E287" si="98">D288</f>
        <v>0</v>
      </c>
      <c r="E287" s="210">
        <f t="shared" si="98"/>
        <v>0</v>
      </c>
      <c r="F287" s="260" t="e">
        <f t="shared" si="94"/>
        <v>#DIV/0!</v>
      </c>
    </row>
    <row r="288" spans="1:23" s="139" customFormat="1" ht="13.5" thickBot="1" x14ac:dyDescent="0.25">
      <c r="A288" s="163" t="s">
        <v>178</v>
      </c>
      <c r="B288" s="154" t="s">
        <v>169</v>
      </c>
      <c r="C288" s="211">
        <v>0</v>
      </c>
      <c r="D288" s="211">
        <v>0</v>
      </c>
      <c r="E288" s="211">
        <v>0</v>
      </c>
      <c r="F288" s="263" t="e">
        <f t="shared" si="94"/>
        <v>#DIV/0!</v>
      </c>
    </row>
    <row r="289" spans="1:23" s="139" customFormat="1" ht="13.5" thickTop="1" x14ac:dyDescent="0.2">
      <c r="A289" s="235"/>
      <c r="B289" s="236"/>
      <c r="C289" s="237"/>
      <c r="D289" s="237"/>
      <c r="E289" s="237"/>
      <c r="F289" s="264"/>
    </row>
    <row r="290" spans="1:23" s="139" customFormat="1" x14ac:dyDescent="0.2">
      <c r="A290" s="148" t="s">
        <v>341</v>
      </c>
      <c r="B290" s="138"/>
      <c r="C290" s="138"/>
      <c r="D290" s="138"/>
      <c r="E290" s="138"/>
      <c r="F290" s="240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</row>
    <row r="291" spans="1:23" s="139" customFormat="1" ht="13.5" thickBot="1" x14ac:dyDescent="0.25">
      <c r="A291" s="378"/>
      <c r="B291" s="378"/>
      <c r="C291" s="378"/>
      <c r="D291" s="378"/>
      <c r="E291" s="378"/>
      <c r="F291" s="378"/>
    </row>
    <row r="292" spans="1:23" s="139" customFormat="1" ht="39.75" thickTop="1" thickBot="1" x14ac:dyDescent="0.25">
      <c r="A292" s="155" t="s">
        <v>322</v>
      </c>
      <c r="B292" s="156" t="s">
        <v>277</v>
      </c>
      <c r="C292" s="156" t="s">
        <v>366</v>
      </c>
      <c r="D292" s="156" t="s">
        <v>367</v>
      </c>
      <c r="E292" s="156" t="s">
        <v>368</v>
      </c>
      <c r="F292" s="241" t="s">
        <v>278</v>
      </c>
    </row>
    <row r="293" spans="1:23" s="139" customFormat="1" ht="14.25" thickTop="1" thickBot="1" x14ac:dyDescent="0.25">
      <c r="A293" s="467">
        <v>1</v>
      </c>
      <c r="B293" s="468"/>
      <c r="C293" s="156">
        <v>2</v>
      </c>
      <c r="D293" s="156">
        <v>3</v>
      </c>
      <c r="E293" s="156">
        <v>4</v>
      </c>
      <c r="F293" s="241" t="s">
        <v>279</v>
      </c>
    </row>
    <row r="294" spans="1:23" ht="13.5" thickTop="1" x14ac:dyDescent="0.2">
      <c r="A294" s="162" t="s">
        <v>7</v>
      </c>
      <c r="B294" s="152" t="s">
        <v>219</v>
      </c>
      <c r="C294" s="210">
        <f>C295+C300+C317+C320</f>
        <v>35144</v>
      </c>
      <c r="D294" s="210">
        <f t="shared" ref="D294:E294" si="99">D295+D300+D317+D320</f>
        <v>35144</v>
      </c>
      <c r="E294" s="210">
        <f t="shared" si="99"/>
        <v>18750.740000000002</v>
      </c>
      <c r="F294" s="260">
        <f t="shared" ref="F294:F322" si="100">E294/D294*100</f>
        <v>53.354029137263836</v>
      </c>
    </row>
    <row r="295" spans="1:23" s="139" customFormat="1" x14ac:dyDescent="0.2">
      <c r="A295" s="162" t="s">
        <v>220</v>
      </c>
      <c r="B295" s="152" t="s">
        <v>226</v>
      </c>
      <c r="C295" s="210">
        <f>C296+C298</f>
        <v>8500</v>
      </c>
      <c r="D295" s="210">
        <f t="shared" ref="D295:E295" si="101">D296+D298</f>
        <v>8500</v>
      </c>
      <c r="E295" s="210">
        <f t="shared" si="101"/>
        <v>0</v>
      </c>
      <c r="F295" s="260">
        <f t="shared" si="100"/>
        <v>0</v>
      </c>
    </row>
    <row r="296" spans="1:23" s="139" customFormat="1" x14ac:dyDescent="0.2">
      <c r="A296" s="162" t="s">
        <v>112</v>
      </c>
      <c r="B296" s="152" t="s">
        <v>113</v>
      </c>
      <c r="C296" s="210">
        <f>SUM(C297:C297)</f>
        <v>7300</v>
      </c>
      <c r="D296" s="210">
        <f>SUM(D297:D297)</f>
        <v>7300</v>
      </c>
      <c r="E296" s="210">
        <f>SUM(E297:E297)</f>
        <v>0</v>
      </c>
      <c r="F296" s="260">
        <f t="shared" si="100"/>
        <v>0</v>
      </c>
    </row>
    <row r="297" spans="1:23" s="139" customFormat="1" x14ac:dyDescent="0.2">
      <c r="A297" s="160" t="s">
        <v>114</v>
      </c>
      <c r="B297" s="150" t="s">
        <v>115</v>
      </c>
      <c r="C297" s="209">
        <v>7300</v>
      </c>
      <c r="D297" s="209">
        <v>7300</v>
      </c>
      <c r="E297" s="209">
        <v>0</v>
      </c>
      <c r="F297" s="262">
        <f t="shared" si="100"/>
        <v>0</v>
      </c>
    </row>
    <row r="298" spans="1:23" s="139" customFormat="1" x14ac:dyDescent="0.2">
      <c r="A298" s="162" t="s">
        <v>121</v>
      </c>
      <c r="B298" s="152" t="s">
        <v>122</v>
      </c>
      <c r="C298" s="210">
        <f>C299</f>
        <v>1200</v>
      </c>
      <c r="D298" s="210">
        <f t="shared" ref="D298:E298" si="102">D299</f>
        <v>1200</v>
      </c>
      <c r="E298" s="210">
        <f t="shared" si="102"/>
        <v>0</v>
      </c>
      <c r="F298" s="260">
        <f t="shared" si="100"/>
        <v>0</v>
      </c>
    </row>
    <row r="299" spans="1:23" s="139" customFormat="1" x14ac:dyDescent="0.2">
      <c r="A299" s="160">
        <v>3132</v>
      </c>
      <c r="B299" s="165" t="s">
        <v>377</v>
      </c>
      <c r="C299" s="209">
        <v>1200</v>
      </c>
      <c r="D299" s="209">
        <v>1200</v>
      </c>
      <c r="E299" s="209">
        <v>0</v>
      </c>
      <c r="F299" s="262">
        <f t="shared" si="100"/>
        <v>0</v>
      </c>
    </row>
    <row r="300" spans="1:23" x14ac:dyDescent="0.2">
      <c r="A300" s="162" t="s">
        <v>221</v>
      </c>
      <c r="B300" s="152" t="s">
        <v>227</v>
      </c>
      <c r="C300" s="210">
        <f>C301+C305+C308+C312+C314</f>
        <v>25349</v>
      </c>
      <c r="D300" s="210">
        <f>D301+D305+D308+D312+D314</f>
        <v>25349</v>
      </c>
      <c r="E300" s="210">
        <f>E301+E305+E308+E312+E314</f>
        <v>17699.52</v>
      </c>
      <c r="F300" s="260">
        <f t="shared" si="100"/>
        <v>69.823346088603103</v>
      </c>
    </row>
    <row r="301" spans="1:23" x14ac:dyDescent="0.2">
      <c r="A301" s="162" t="s">
        <v>125</v>
      </c>
      <c r="B301" s="152" t="s">
        <v>126</v>
      </c>
      <c r="C301" s="210">
        <f>SUM(C302:C304)</f>
        <v>9875</v>
      </c>
      <c r="D301" s="210">
        <f t="shared" ref="D301:E301" si="103">SUM(D302:D304)</f>
        <v>9875</v>
      </c>
      <c r="E301" s="210">
        <f t="shared" si="103"/>
        <v>2901.32</v>
      </c>
      <c r="F301" s="260">
        <f t="shared" si="100"/>
        <v>29.380455696202535</v>
      </c>
    </row>
    <row r="302" spans="1:23" x14ac:dyDescent="0.2">
      <c r="A302" s="160" t="s">
        <v>127</v>
      </c>
      <c r="B302" s="150" t="s">
        <v>128</v>
      </c>
      <c r="C302" s="209">
        <v>9075</v>
      </c>
      <c r="D302" s="209">
        <v>9075</v>
      </c>
      <c r="E302" s="209">
        <v>2901.32</v>
      </c>
      <c r="F302" s="262">
        <f t="shared" si="100"/>
        <v>31.970468319559231</v>
      </c>
    </row>
    <row r="303" spans="1:23" s="139" customFormat="1" x14ac:dyDescent="0.2">
      <c r="A303" s="160" t="s">
        <v>129</v>
      </c>
      <c r="B303" s="150" t="s">
        <v>130</v>
      </c>
      <c r="C303" s="209">
        <v>800</v>
      </c>
      <c r="D303" s="209">
        <v>800</v>
      </c>
      <c r="E303" s="209">
        <v>0</v>
      </c>
      <c r="F303" s="262">
        <f t="shared" si="100"/>
        <v>0</v>
      </c>
    </row>
    <row r="304" spans="1:23" x14ac:dyDescent="0.2">
      <c r="A304" s="160" t="s">
        <v>131</v>
      </c>
      <c r="B304" s="150" t="s">
        <v>132</v>
      </c>
      <c r="C304" s="209">
        <v>0</v>
      </c>
      <c r="D304" s="209">
        <v>0</v>
      </c>
      <c r="E304" s="209">
        <v>0</v>
      </c>
      <c r="F304" s="262" t="e">
        <f t="shared" si="100"/>
        <v>#DIV/0!</v>
      </c>
    </row>
    <row r="305" spans="1:6" x14ac:dyDescent="0.2">
      <c r="A305" s="162" t="s">
        <v>133</v>
      </c>
      <c r="B305" s="152" t="s">
        <v>134</v>
      </c>
      <c r="C305" s="210">
        <f>SUM(C306:C307)</f>
        <v>14444</v>
      </c>
      <c r="D305" s="210">
        <f t="shared" ref="D305:E305" si="104">SUM(D306:D307)</f>
        <v>14444</v>
      </c>
      <c r="E305" s="210">
        <f t="shared" si="104"/>
        <v>14107.95</v>
      </c>
      <c r="F305" s="260">
        <f t="shared" si="100"/>
        <v>97.673428413181952</v>
      </c>
    </row>
    <row r="306" spans="1:6" x14ac:dyDescent="0.2">
      <c r="A306" s="160" t="s">
        <v>135</v>
      </c>
      <c r="B306" s="150" t="s">
        <v>136</v>
      </c>
      <c r="C306" s="209">
        <v>180</v>
      </c>
      <c r="D306" s="209">
        <v>180</v>
      </c>
      <c r="E306" s="209">
        <v>0</v>
      </c>
      <c r="F306" s="262">
        <f t="shared" si="100"/>
        <v>0</v>
      </c>
    </row>
    <row r="307" spans="1:6" x14ac:dyDescent="0.2">
      <c r="A307" s="160" t="s">
        <v>195</v>
      </c>
      <c r="B307" s="150" t="s">
        <v>196</v>
      </c>
      <c r="C307" s="209">
        <v>14264</v>
      </c>
      <c r="D307" s="209">
        <v>14264</v>
      </c>
      <c r="E307" s="209">
        <v>14107.95</v>
      </c>
      <c r="F307" s="262">
        <f t="shared" si="100"/>
        <v>98.905987100392593</v>
      </c>
    </row>
    <row r="308" spans="1:6" x14ac:dyDescent="0.2">
      <c r="A308" s="162" t="s">
        <v>145</v>
      </c>
      <c r="B308" s="152" t="s">
        <v>146</v>
      </c>
      <c r="C308" s="210">
        <f>SUM(C309:C311)</f>
        <v>660</v>
      </c>
      <c r="D308" s="210">
        <f>SUM(D309:D311)</f>
        <v>660</v>
      </c>
      <c r="E308" s="210">
        <f>SUM(E309:E311)</f>
        <v>425.65999999999997</v>
      </c>
      <c r="F308" s="260">
        <f t="shared" si="100"/>
        <v>64.493939393939399</v>
      </c>
    </row>
    <row r="309" spans="1:6" x14ac:dyDescent="0.2">
      <c r="A309" s="160" t="s">
        <v>147</v>
      </c>
      <c r="B309" s="150" t="s">
        <v>148</v>
      </c>
      <c r="C309" s="209">
        <v>330</v>
      </c>
      <c r="D309" s="209">
        <v>330</v>
      </c>
      <c r="E309" s="209">
        <v>124.55</v>
      </c>
      <c r="F309" s="262">
        <f t="shared" si="100"/>
        <v>37.742424242424242</v>
      </c>
    </row>
    <row r="310" spans="1:6" x14ac:dyDescent="0.2">
      <c r="A310" s="160" t="s">
        <v>159</v>
      </c>
      <c r="B310" s="150" t="s">
        <v>160</v>
      </c>
      <c r="C310" s="209">
        <v>40</v>
      </c>
      <c r="D310" s="209">
        <v>40</v>
      </c>
      <c r="E310" s="209">
        <v>30.4</v>
      </c>
      <c r="F310" s="262">
        <f t="shared" si="100"/>
        <v>76</v>
      </c>
    </row>
    <row r="311" spans="1:6" x14ac:dyDescent="0.2">
      <c r="A311" s="160" t="s">
        <v>163</v>
      </c>
      <c r="B311" s="150" t="s">
        <v>164</v>
      </c>
      <c r="C311" s="209">
        <v>290</v>
      </c>
      <c r="D311" s="209">
        <v>290</v>
      </c>
      <c r="E311" s="209">
        <v>270.70999999999998</v>
      </c>
      <c r="F311" s="262">
        <f t="shared" si="100"/>
        <v>93.348275862068959</v>
      </c>
    </row>
    <row r="312" spans="1:6" x14ac:dyDescent="0.2">
      <c r="A312" s="162" t="s">
        <v>165</v>
      </c>
      <c r="B312" s="152" t="s">
        <v>166</v>
      </c>
      <c r="C312" s="210">
        <f>C313</f>
        <v>130</v>
      </c>
      <c r="D312" s="210">
        <f t="shared" ref="D312:E312" si="105">D313</f>
        <v>130</v>
      </c>
      <c r="E312" s="210">
        <f t="shared" si="105"/>
        <v>0</v>
      </c>
      <c r="F312" s="260">
        <f t="shared" si="100"/>
        <v>0</v>
      </c>
    </row>
    <row r="313" spans="1:6" x14ac:dyDescent="0.2">
      <c r="A313" s="160" t="s">
        <v>167</v>
      </c>
      <c r="B313" s="150" t="s">
        <v>166</v>
      </c>
      <c r="C313" s="209">
        <v>130</v>
      </c>
      <c r="D313" s="209">
        <v>130</v>
      </c>
      <c r="E313" s="209">
        <v>0</v>
      </c>
      <c r="F313" s="262">
        <f t="shared" si="100"/>
        <v>0</v>
      </c>
    </row>
    <row r="314" spans="1:6" x14ac:dyDescent="0.2">
      <c r="A314" s="162" t="s">
        <v>168</v>
      </c>
      <c r="B314" s="152" t="s">
        <v>169</v>
      </c>
      <c r="C314" s="210">
        <f>SUM(C315:C316)</f>
        <v>240</v>
      </c>
      <c r="D314" s="210">
        <f>SUM(D315:D316)</f>
        <v>240</v>
      </c>
      <c r="E314" s="210">
        <f>SUM(E315:E316)</f>
        <v>264.59000000000003</v>
      </c>
      <c r="F314" s="260">
        <f t="shared" si="100"/>
        <v>110.24583333333335</v>
      </c>
    </row>
    <row r="315" spans="1:6" x14ac:dyDescent="0.2">
      <c r="A315" s="160" t="s">
        <v>172</v>
      </c>
      <c r="B315" s="150" t="s">
        <v>173</v>
      </c>
      <c r="C315" s="209">
        <v>110</v>
      </c>
      <c r="D315" s="209">
        <v>110</v>
      </c>
      <c r="E315" s="209">
        <v>142.53</v>
      </c>
      <c r="F315" s="262">
        <f t="shared" si="100"/>
        <v>129.57272727272729</v>
      </c>
    </row>
    <row r="316" spans="1:6" s="139" customFormat="1" x14ac:dyDescent="0.2">
      <c r="A316" s="160" t="s">
        <v>178</v>
      </c>
      <c r="B316" s="150" t="s">
        <v>169</v>
      </c>
      <c r="C316" s="209">
        <v>130</v>
      </c>
      <c r="D316" s="209">
        <v>130</v>
      </c>
      <c r="E316" s="209">
        <v>122.06</v>
      </c>
      <c r="F316" s="262">
        <f t="shared" si="100"/>
        <v>93.892307692307696</v>
      </c>
    </row>
    <row r="317" spans="1:6" s="139" customFormat="1" x14ac:dyDescent="0.2">
      <c r="A317" s="162" t="s">
        <v>222</v>
      </c>
      <c r="B317" s="152" t="s">
        <v>228</v>
      </c>
      <c r="C317" s="210">
        <f>C318</f>
        <v>260</v>
      </c>
      <c r="D317" s="210">
        <f t="shared" ref="D317:E317" si="106">D318</f>
        <v>260</v>
      </c>
      <c r="E317" s="210">
        <f t="shared" si="106"/>
        <v>18.329999999999998</v>
      </c>
      <c r="F317" s="260">
        <f t="shared" si="100"/>
        <v>7.0499999999999989</v>
      </c>
    </row>
    <row r="318" spans="1:6" s="139" customFormat="1" x14ac:dyDescent="0.2">
      <c r="A318" s="162" t="s">
        <v>179</v>
      </c>
      <c r="B318" s="152" t="s">
        <v>180</v>
      </c>
      <c r="C318" s="210">
        <f>SUM(C319:C319)</f>
        <v>260</v>
      </c>
      <c r="D318" s="210">
        <f>SUM(D319:D319)</f>
        <v>260</v>
      </c>
      <c r="E318" s="210">
        <f>SUM(E319:E319)</f>
        <v>18.329999999999998</v>
      </c>
      <c r="F318" s="260">
        <f t="shared" si="100"/>
        <v>7.0499999999999989</v>
      </c>
    </row>
    <row r="319" spans="1:6" s="139" customFormat="1" x14ac:dyDescent="0.2">
      <c r="A319" s="160" t="s">
        <v>181</v>
      </c>
      <c r="B319" s="150" t="s">
        <v>182</v>
      </c>
      <c r="C319" s="209">
        <v>260</v>
      </c>
      <c r="D319" s="209">
        <v>260</v>
      </c>
      <c r="E319" s="209">
        <v>18.329999999999998</v>
      </c>
      <c r="F319" s="262">
        <f t="shared" si="100"/>
        <v>7.0499999999999989</v>
      </c>
    </row>
    <row r="320" spans="1:6" s="139" customFormat="1" x14ac:dyDescent="0.2">
      <c r="A320" s="162" t="s">
        <v>224</v>
      </c>
      <c r="B320" s="152" t="s">
        <v>230</v>
      </c>
      <c r="C320" s="210">
        <f>C321</f>
        <v>1035</v>
      </c>
      <c r="D320" s="210">
        <f t="shared" ref="D320:E321" si="107">D321</f>
        <v>1035</v>
      </c>
      <c r="E320" s="210">
        <f t="shared" si="107"/>
        <v>1032.8900000000001</v>
      </c>
      <c r="F320" s="260">
        <f t="shared" si="100"/>
        <v>99.796135265700485</v>
      </c>
    </row>
    <row r="321" spans="1:23" s="139" customFormat="1" x14ac:dyDescent="0.2">
      <c r="A321" s="162">
        <v>381</v>
      </c>
      <c r="B321" s="152" t="s">
        <v>375</v>
      </c>
      <c r="C321" s="210">
        <f>C322</f>
        <v>1035</v>
      </c>
      <c r="D321" s="210">
        <f t="shared" si="107"/>
        <v>1035</v>
      </c>
      <c r="E321" s="210">
        <f t="shared" si="107"/>
        <v>1032.8900000000001</v>
      </c>
      <c r="F321" s="260">
        <f t="shared" si="100"/>
        <v>99.796135265700485</v>
      </c>
    </row>
    <row r="322" spans="1:23" s="139" customFormat="1" ht="13.5" thickBot="1" x14ac:dyDescent="0.25">
      <c r="A322" s="163">
        <v>3812</v>
      </c>
      <c r="B322" s="154" t="s">
        <v>376</v>
      </c>
      <c r="C322" s="211">
        <v>1035</v>
      </c>
      <c r="D322" s="211">
        <v>1035</v>
      </c>
      <c r="E322" s="211">
        <v>1032.8900000000001</v>
      </c>
      <c r="F322" s="263">
        <f t="shared" si="100"/>
        <v>99.796135265700485</v>
      </c>
    </row>
    <row r="323" spans="1:23" s="139" customFormat="1" ht="13.5" thickTop="1" x14ac:dyDescent="0.2">
      <c r="A323" s="235"/>
      <c r="B323" s="236"/>
      <c r="C323" s="237"/>
      <c r="D323" s="237"/>
      <c r="E323" s="237"/>
      <c r="F323" s="264"/>
    </row>
    <row r="324" spans="1:23" s="139" customFormat="1" x14ac:dyDescent="0.2">
      <c r="A324" s="148" t="s">
        <v>356</v>
      </c>
      <c r="B324" s="138"/>
      <c r="C324" s="138"/>
      <c r="D324" s="138"/>
      <c r="E324" s="138"/>
      <c r="F324" s="240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</row>
    <row r="325" spans="1:23" s="139" customFormat="1" ht="13.5" thickBot="1" x14ac:dyDescent="0.25">
      <c r="A325" s="378"/>
      <c r="B325" s="378"/>
      <c r="C325" s="378"/>
      <c r="D325" s="378"/>
      <c r="E325" s="378"/>
      <c r="F325" s="378"/>
    </row>
    <row r="326" spans="1:23" s="139" customFormat="1" ht="39.75" thickTop="1" thickBot="1" x14ac:dyDescent="0.25">
      <c r="A326" s="155" t="s">
        <v>322</v>
      </c>
      <c r="B326" s="156" t="s">
        <v>277</v>
      </c>
      <c r="C326" s="156" t="s">
        <v>366</v>
      </c>
      <c r="D326" s="156" t="s">
        <v>367</v>
      </c>
      <c r="E326" s="156" t="s">
        <v>368</v>
      </c>
      <c r="F326" s="241" t="s">
        <v>278</v>
      </c>
    </row>
    <row r="327" spans="1:23" s="139" customFormat="1" ht="15.75" customHeight="1" thickTop="1" thickBot="1" x14ac:dyDescent="0.25">
      <c r="A327" s="467">
        <v>1</v>
      </c>
      <c r="B327" s="468"/>
      <c r="C327" s="156">
        <v>2</v>
      </c>
      <c r="D327" s="156">
        <v>3</v>
      </c>
      <c r="E327" s="156">
        <v>4</v>
      </c>
      <c r="F327" s="241" t="s">
        <v>279</v>
      </c>
    </row>
    <row r="328" spans="1:23" s="139" customFormat="1" ht="13.5" thickTop="1" x14ac:dyDescent="0.2">
      <c r="A328" s="162" t="s">
        <v>7</v>
      </c>
      <c r="B328" s="152" t="s">
        <v>219</v>
      </c>
      <c r="C328" s="210">
        <f>C329+C334+C338</f>
        <v>2216</v>
      </c>
      <c r="D328" s="210">
        <f t="shared" ref="D328:E328" si="108">D329+D334+D338</f>
        <v>2216</v>
      </c>
      <c r="E328" s="210">
        <f t="shared" si="108"/>
        <v>2215.52</v>
      </c>
      <c r="F328" s="260">
        <f t="shared" ref="F328:F340" si="109">E328/D328*100</f>
        <v>99.978339350180505</v>
      </c>
    </row>
    <row r="329" spans="1:23" s="139" customFormat="1" x14ac:dyDescent="0.2">
      <c r="A329" s="162" t="s">
        <v>220</v>
      </c>
      <c r="B329" s="152" t="s">
        <v>226</v>
      </c>
      <c r="C329" s="210">
        <f>C330+C332</f>
        <v>0</v>
      </c>
      <c r="D329" s="210">
        <f t="shared" ref="D329:E329" si="110">D330+D332</f>
        <v>0</v>
      </c>
      <c r="E329" s="210">
        <f t="shared" si="110"/>
        <v>0</v>
      </c>
      <c r="F329" s="260" t="e">
        <f t="shared" si="109"/>
        <v>#DIV/0!</v>
      </c>
    </row>
    <row r="330" spans="1:23" s="139" customFormat="1" x14ac:dyDescent="0.2">
      <c r="A330" s="162" t="s">
        <v>112</v>
      </c>
      <c r="B330" s="152" t="s">
        <v>113</v>
      </c>
      <c r="C330" s="210">
        <f>SUM(C331:C331)</f>
        <v>0</v>
      </c>
      <c r="D330" s="210">
        <f>SUM(D331:D331)</f>
        <v>0</v>
      </c>
      <c r="E330" s="210">
        <f>SUM(E331:E331)</f>
        <v>0</v>
      </c>
      <c r="F330" s="260" t="e">
        <f t="shared" si="109"/>
        <v>#DIV/0!</v>
      </c>
    </row>
    <row r="331" spans="1:23" s="139" customFormat="1" x14ac:dyDescent="0.2">
      <c r="A331" s="160" t="s">
        <v>114</v>
      </c>
      <c r="B331" s="150" t="s">
        <v>115</v>
      </c>
      <c r="C331" s="209">
        <v>0</v>
      </c>
      <c r="D331" s="209">
        <v>0</v>
      </c>
      <c r="E331" s="209">
        <v>0</v>
      </c>
      <c r="F331" s="262" t="e">
        <f t="shared" si="109"/>
        <v>#DIV/0!</v>
      </c>
    </row>
    <row r="332" spans="1:23" s="139" customFormat="1" x14ac:dyDescent="0.2">
      <c r="A332" s="162" t="s">
        <v>121</v>
      </c>
      <c r="B332" s="152" t="s">
        <v>122</v>
      </c>
      <c r="C332" s="210">
        <f>C333</f>
        <v>0</v>
      </c>
      <c r="D332" s="210">
        <f t="shared" ref="D332:E332" si="111">D333</f>
        <v>0</v>
      </c>
      <c r="E332" s="210">
        <f t="shared" si="111"/>
        <v>0</v>
      </c>
      <c r="F332" s="260" t="e">
        <f t="shared" si="109"/>
        <v>#DIV/0!</v>
      </c>
    </row>
    <row r="333" spans="1:23" s="139" customFormat="1" x14ac:dyDescent="0.2">
      <c r="A333" s="160" t="s">
        <v>123</v>
      </c>
      <c r="B333" s="150" t="s">
        <v>124</v>
      </c>
      <c r="C333" s="209">
        <v>0</v>
      </c>
      <c r="D333" s="209">
        <v>0</v>
      </c>
      <c r="E333" s="209">
        <v>0</v>
      </c>
      <c r="F333" s="262" t="e">
        <f t="shared" si="109"/>
        <v>#DIV/0!</v>
      </c>
    </row>
    <row r="334" spans="1:23" s="139" customFormat="1" x14ac:dyDescent="0.2">
      <c r="A334" s="162" t="s">
        <v>221</v>
      </c>
      <c r="B334" s="152" t="s">
        <v>227</v>
      </c>
      <c r="C334" s="210">
        <f>C335</f>
        <v>2216</v>
      </c>
      <c r="D334" s="210">
        <f t="shared" ref="D334:E334" si="112">D335</f>
        <v>2216</v>
      </c>
      <c r="E334" s="210">
        <f t="shared" si="112"/>
        <v>2215.52</v>
      </c>
      <c r="F334" s="260">
        <f t="shared" si="109"/>
        <v>99.978339350180505</v>
      </c>
    </row>
    <row r="335" spans="1:23" s="139" customFormat="1" x14ac:dyDescent="0.2">
      <c r="A335" s="162" t="s">
        <v>125</v>
      </c>
      <c r="B335" s="152" t="s">
        <v>126</v>
      </c>
      <c r="C335" s="210">
        <f>C336+C337</f>
        <v>2216</v>
      </c>
      <c r="D335" s="210">
        <f t="shared" ref="D335:E335" si="113">D336+D337</f>
        <v>2216</v>
      </c>
      <c r="E335" s="210">
        <f t="shared" si="113"/>
        <v>2215.52</v>
      </c>
      <c r="F335" s="260">
        <f t="shared" si="109"/>
        <v>99.978339350180505</v>
      </c>
    </row>
    <row r="336" spans="1:23" s="139" customFormat="1" x14ac:dyDescent="0.2">
      <c r="A336" s="160" t="s">
        <v>127</v>
      </c>
      <c r="B336" s="150" t="s">
        <v>128</v>
      </c>
      <c r="C336" s="209">
        <v>2216</v>
      </c>
      <c r="D336" s="209">
        <v>2216</v>
      </c>
      <c r="E336" s="209">
        <v>2215.52</v>
      </c>
      <c r="F336" s="262">
        <f t="shared" si="109"/>
        <v>99.978339350180505</v>
      </c>
    </row>
    <row r="337" spans="1:23" s="139" customFormat="1" x14ac:dyDescent="0.2">
      <c r="A337" s="160" t="s">
        <v>129</v>
      </c>
      <c r="B337" s="150" t="s">
        <v>130</v>
      </c>
      <c r="C337" s="209">
        <v>0</v>
      </c>
      <c r="D337" s="209">
        <v>0</v>
      </c>
      <c r="E337" s="209">
        <v>0</v>
      </c>
      <c r="F337" s="262" t="e">
        <f t="shared" si="109"/>
        <v>#DIV/0!</v>
      </c>
    </row>
    <row r="338" spans="1:23" s="139" customFormat="1" x14ac:dyDescent="0.2">
      <c r="A338" s="162" t="s">
        <v>222</v>
      </c>
      <c r="B338" s="152" t="s">
        <v>228</v>
      </c>
      <c r="C338" s="210">
        <f>C339</f>
        <v>0</v>
      </c>
      <c r="D338" s="210">
        <f t="shared" ref="D338:E339" si="114">D339</f>
        <v>0</v>
      </c>
      <c r="E338" s="210">
        <f t="shared" si="114"/>
        <v>0</v>
      </c>
      <c r="F338" s="260" t="e">
        <f t="shared" si="109"/>
        <v>#DIV/0!</v>
      </c>
    </row>
    <row r="339" spans="1:23" s="139" customFormat="1" x14ac:dyDescent="0.2">
      <c r="A339" s="162" t="s">
        <v>179</v>
      </c>
      <c r="B339" s="152" t="s">
        <v>180</v>
      </c>
      <c r="C339" s="210">
        <f>C340</f>
        <v>0</v>
      </c>
      <c r="D339" s="210">
        <f t="shared" si="114"/>
        <v>0</v>
      </c>
      <c r="E339" s="210">
        <f t="shared" si="114"/>
        <v>0</v>
      </c>
      <c r="F339" s="260" t="e">
        <f t="shared" si="109"/>
        <v>#DIV/0!</v>
      </c>
    </row>
    <row r="340" spans="1:23" s="139" customFormat="1" ht="13.5" thickBot="1" x14ac:dyDescent="0.25">
      <c r="A340" s="163" t="s">
        <v>181</v>
      </c>
      <c r="B340" s="154" t="s">
        <v>182</v>
      </c>
      <c r="C340" s="211">
        <v>0</v>
      </c>
      <c r="D340" s="211">
        <v>0</v>
      </c>
      <c r="E340" s="211">
        <v>0</v>
      </c>
      <c r="F340" s="263" t="e">
        <f t="shared" si="109"/>
        <v>#DIV/0!</v>
      </c>
    </row>
    <row r="341" spans="1:23" s="139" customFormat="1" ht="13.5" thickTop="1" x14ac:dyDescent="0.2">
      <c r="A341" s="235"/>
      <c r="B341" s="236"/>
      <c r="C341" s="237"/>
      <c r="D341" s="237"/>
      <c r="E341" s="237"/>
      <c r="F341" s="264"/>
    </row>
    <row r="342" spans="1:23" s="139" customFormat="1" x14ac:dyDescent="0.2">
      <c r="A342" s="148" t="s">
        <v>342</v>
      </c>
      <c r="B342" s="138"/>
      <c r="C342" s="138"/>
      <c r="D342" s="138"/>
      <c r="E342" s="138"/>
      <c r="F342" s="240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</row>
    <row r="343" spans="1:23" s="139" customFormat="1" ht="13.5" thickBot="1" x14ac:dyDescent="0.25">
      <c r="A343" s="378"/>
      <c r="B343" s="378"/>
      <c r="C343" s="378"/>
      <c r="D343" s="378"/>
      <c r="E343" s="378"/>
      <c r="F343" s="378"/>
    </row>
    <row r="344" spans="1:23" s="139" customFormat="1" ht="39.75" thickTop="1" thickBot="1" x14ac:dyDescent="0.25">
      <c r="A344" s="155" t="s">
        <v>322</v>
      </c>
      <c r="B344" s="156" t="s">
        <v>277</v>
      </c>
      <c r="C344" s="156" t="s">
        <v>366</v>
      </c>
      <c r="D344" s="156" t="s">
        <v>367</v>
      </c>
      <c r="E344" s="156" t="s">
        <v>368</v>
      </c>
      <c r="F344" s="241" t="s">
        <v>278</v>
      </c>
    </row>
    <row r="345" spans="1:23" s="139" customFormat="1" ht="15.75" customHeight="1" thickTop="1" thickBot="1" x14ac:dyDescent="0.25">
      <c r="A345" s="467">
        <v>1</v>
      </c>
      <c r="B345" s="468"/>
      <c r="C345" s="156">
        <v>2</v>
      </c>
      <c r="D345" s="156">
        <v>3</v>
      </c>
      <c r="E345" s="156">
        <v>4</v>
      </c>
      <c r="F345" s="241" t="s">
        <v>279</v>
      </c>
    </row>
    <row r="346" spans="1:23" ht="13.5" thickTop="1" x14ac:dyDescent="0.2">
      <c r="A346" s="162" t="s">
        <v>7</v>
      </c>
      <c r="B346" s="152" t="s">
        <v>219</v>
      </c>
      <c r="C346" s="210">
        <f>C347+C353</f>
        <v>1860</v>
      </c>
      <c r="D346" s="210">
        <f t="shared" ref="D346:E346" si="115">D347+D353</f>
        <v>1860</v>
      </c>
      <c r="E346" s="210">
        <f t="shared" si="115"/>
        <v>1114.68</v>
      </c>
      <c r="F346" s="260">
        <f t="shared" ref="F346:F355" si="116">E346/D346*100</f>
        <v>59.929032258064517</v>
      </c>
    </row>
    <row r="347" spans="1:23" x14ac:dyDescent="0.2">
      <c r="A347" s="162" t="s">
        <v>221</v>
      </c>
      <c r="B347" s="152" t="s">
        <v>227</v>
      </c>
      <c r="C347" s="210">
        <f>C348+C350</f>
        <v>1660</v>
      </c>
      <c r="D347" s="210">
        <f t="shared" ref="D347:E347" si="117">D348+D350</f>
        <v>1660</v>
      </c>
      <c r="E347" s="210">
        <f t="shared" si="117"/>
        <v>1114.68</v>
      </c>
      <c r="F347" s="260">
        <f t="shared" si="116"/>
        <v>67.149397590361446</v>
      </c>
    </row>
    <row r="348" spans="1:23" x14ac:dyDescent="0.2">
      <c r="A348" s="162" t="s">
        <v>125</v>
      </c>
      <c r="B348" s="152" t="s">
        <v>126</v>
      </c>
      <c r="C348" s="210">
        <f>C349</f>
        <v>1130</v>
      </c>
      <c r="D348" s="210">
        <f t="shared" ref="D348:E348" si="118">D349</f>
        <v>1130</v>
      </c>
      <c r="E348" s="210">
        <f t="shared" si="118"/>
        <v>1114.68</v>
      </c>
      <c r="F348" s="260">
        <f t="shared" si="116"/>
        <v>98.644247787610624</v>
      </c>
    </row>
    <row r="349" spans="1:23" x14ac:dyDescent="0.2">
      <c r="A349" s="160" t="s">
        <v>127</v>
      </c>
      <c r="B349" s="150" t="s">
        <v>128</v>
      </c>
      <c r="C349" s="209">
        <v>1130</v>
      </c>
      <c r="D349" s="209">
        <v>1130</v>
      </c>
      <c r="E349" s="209">
        <v>1114.68</v>
      </c>
      <c r="F349" s="262">
        <f t="shared" si="116"/>
        <v>98.644247787610624</v>
      </c>
    </row>
    <row r="350" spans="1:23" x14ac:dyDescent="0.2">
      <c r="A350" s="162" t="s">
        <v>133</v>
      </c>
      <c r="B350" s="152" t="s">
        <v>134</v>
      </c>
      <c r="C350" s="210">
        <f>SUM(C351:C352)</f>
        <v>530</v>
      </c>
      <c r="D350" s="210">
        <f t="shared" ref="D350:E350" si="119">SUM(D351:D352)</f>
        <v>530</v>
      </c>
      <c r="E350" s="210">
        <f t="shared" si="119"/>
        <v>0</v>
      </c>
      <c r="F350" s="260">
        <f t="shared" si="116"/>
        <v>0</v>
      </c>
    </row>
    <row r="351" spans="1:23" x14ac:dyDescent="0.2">
      <c r="A351" s="160" t="s">
        <v>135</v>
      </c>
      <c r="B351" s="150" t="s">
        <v>136</v>
      </c>
      <c r="C351" s="209">
        <v>130</v>
      </c>
      <c r="D351" s="209">
        <v>130</v>
      </c>
      <c r="E351" s="209">
        <v>0</v>
      </c>
      <c r="F351" s="262">
        <f t="shared" si="116"/>
        <v>0</v>
      </c>
    </row>
    <row r="352" spans="1:23" x14ac:dyDescent="0.2">
      <c r="A352" s="160" t="s">
        <v>143</v>
      </c>
      <c r="B352" s="150" t="s">
        <v>144</v>
      </c>
      <c r="C352" s="209">
        <v>400</v>
      </c>
      <c r="D352" s="209">
        <v>400</v>
      </c>
      <c r="E352" s="209">
        <v>0</v>
      </c>
      <c r="F352" s="262">
        <f t="shared" si="116"/>
        <v>0</v>
      </c>
    </row>
    <row r="353" spans="1:23" x14ac:dyDescent="0.2">
      <c r="A353" s="162" t="s">
        <v>223</v>
      </c>
      <c r="B353" s="152" t="s">
        <v>229</v>
      </c>
      <c r="C353" s="210">
        <f>C354</f>
        <v>200</v>
      </c>
      <c r="D353" s="210">
        <f t="shared" ref="D353:E354" si="120">D354</f>
        <v>200</v>
      </c>
      <c r="E353" s="210">
        <f t="shared" si="120"/>
        <v>0</v>
      </c>
      <c r="F353" s="260">
        <f t="shared" si="116"/>
        <v>0</v>
      </c>
    </row>
    <row r="354" spans="1:23" x14ac:dyDescent="0.2">
      <c r="A354" s="162" t="s">
        <v>183</v>
      </c>
      <c r="B354" s="152" t="s">
        <v>184</v>
      </c>
      <c r="C354" s="210">
        <f>C355</f>
        <v>200</v>
      </c>
      <c r="D354" s="210">
        <f>D355</f>
        <v>200</v>
      </c>
      <c r="E354" s="210">
        <f t="shared" si="120"/>
        <v>0</v>
      </c>
      <c r="F354" s="260">
        <f t="shared" si="116"/>
        <v>0</v>
      </c>
    </row>
    <row r="355" spans="1:23" ht="13.5" thickBot="1" x14ac:dyDescent="0.25">
      <c r="A355" s="163" t="s">
        <v>207</v>
      </c>
      <c r="B355" s="154" t="s">
        <v>208</v>
      </c>
      <c r="C355" s="211">
        <v>200</v>
      </c>
      <c r="D355" s="211">
        <v>200</v>
      </c>
      <c r="E355" s="211">
        <v>0</v>
      </c>
      <c r="F355" s="263">
        <f t="shared" si="116"/>
        <v>0</v>
      </c>
    </row>
    <row r="356" spans="1:23" s="139" customFormat="1" ht="13.5" thickTop="1" x14ac:dyDescent="0.2">
      <c r="A356" s="235"/>
      <c r="B356" s="236"/>
      <c r="C356" s="237"/>
      <c r="D356" s="237"/>
      <c r="E356" s="237"/>
      <c r="F356" s="264"/>
    </row>
    <row r="357" spans="1:23" s="139" customFormat="1" x14ac:dyDescent="0.2">
      <c r="A357" s="148" t="s">
        <v>357</v>
      </c>
      <c r="B357" s="266"/>
      <c r="C357" s="266"/>
      <c r="D357" s="266"/>
      <c r="E357" s="266"/>
      <c r="F357" s="240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</row>
    <row r="358" spans="1:23" s="139" customFormat="1" ht="13.5" thickBot="1" x14ac:dyDescent="0.25">
      <c r="A358" s="378"/>
      <c r="B358" s="378"/>
      <c r="C358" s="378"/>
      <c r="D358" s="378"/>
      <c r="E358" s="378"/>
      <c r="F358" s="378"/>
    </row>
    <row r="359" spans="1:23" s="139" customFormat="1" ht="39.75" thickTop="1" thickBot="1" x14ac:dyDescent="0.25">
      <c r="A359" s="155" t="s">
        <v>322</v>
      </c>
      <c r="B359" s="156" t="s">
        <v>277</v>
      </c>
      <c r="C359" s="156" t="s">
        <v>366</v>
      </c>
      <c r="D359" s="156" t="s">
        <v>367</v>
      </c>
      <c r="E359" s="156" t="s">
        <v>368</v>
      </c>
      <c r="F359" s="241" t="s">
        <v>278</v>
      </c>
    </row>
    <row r="360" spans="1:23" s="139" customFormat="1" ht="15.75" customHeight="1" thickTop="1" thickBot="1" x14ac:dyDescent="0.25">
      <c r="A360" s="467">
        <v>1</v>
      </c>
      <c r="B360" s="468"/>
      <c r="C360" s="156">
        <v>2</v>
      </c>
      <c r="D360" s="156">
        <v>3</v>
      </c>
      <c r="E360" s="156">
        <v>4</v>
      </c>
      <c r="F360" s="241" t="s">
        <v>279</v>
      </c>
    </row>
    <row r="361" spans="1:23" s="139" customFormat="1" ht="13.5" thickTop="1" x14ac:dyDescent="0.2">
      <c r="A361" s="162" t="s">
        <v>7</v>
      </c>
      <c r="B361" s="152" t="s">
        <v>219</v>
      </c>
      <c r="C361" s="210">
        <f>C362</f>
        <v>1</v>
      </c>
      <c r="D361" s="210">
        <f t="shared" ref="D361:E362" si="121">D362</f>
        <v>1</v>
      </c>
      <c r="E361" s="210">
        <f t="shared" si="121"/>
        <v>0</v>
      </c>
      <c r="F361" s="260">
        <f t="shared" ref="F361:F364" si="122">E361/D361*100</f>
        <v>0</v>
      </c>
    </row>
    <row r="362" spans="1:23" s="139" customFormat="1" x14ac:dyDescent="0.2">
      <c r="A362" s="162" t="s">
        <v>221</v>
      </c>
      <c r="B362" s="152" t="s">
        <v>227</v>
      </c>
      <c r="C362" s="210">
        <f>C363</f>
        <v>1</v>
      </c>
      <c r="D362" s="210">
        <f t="shared" si="121"/>
        <v>1</v>
      </c>
      <c r="E362" s="210">
        <f t="shared" si="121"/>
        <v>0</v>
      </c>
      <c r="F362" s="260">
        <f t="shared" si="122"/>
        <v>0</v>
      </c>
    </row>
    <row r="363" spans="1:23" s="139" customFormat="1" x14ac:dyDescent="0.2">
      <c r="A363" s="162" t="s">
        <v>133</v>
      </c>
      <c r="B363" s="152" t="s">
        <v>134</v>
      </c>
      <c r="C363" s="210">
        <f>SUM(C364:C364)</f>
        <v>1</v>
      </c>
      <c r="D363" s="210">
        <f>SUM(D364:D364)</f>
        <v>1</v>
      </c>
      <c r="E363" s="210">
        <f>SUM(E364:E364)</f>
        <v>0</v>
      </c>
      <c r="F363" s="260">
        <f t="shared" si="122"/>
        <v>0</v>
      </c>
    </row>
    <row r="364" spans="1:23" s="139" customFormat="1" ht="13.5" thickBot="1" x14ac:dyDescent="0.25">
      <c r="A364" s="163" t="s">
        <v>143</v>
      </c>
      <c r="B364" s="154" t="s">
        <v>144</v>
      </c>
      <c r="C364" s="211">
        <v>1</v>
      </c>
      <c r="D364" s="211">
        <v>1</v>
      </c>
      <c r="E364" s="211">
        <v>0</v>
      </c>
      <c r="F364" s="263">
        <f t="shared" si="122"/>
        <v>0</v>
      </c>
    </row>
    <row r="365" spans="1:23" s="139" customFormat="1" ht="13.5" thickTop="1" x14ac:dyDescent="0.2">
      <c r="A365" s="235"/>
      <c r="B365" s="236"/>
      <c r="C365" s="237"/>
      <c r="D365" s="237"/>
      <c r="E365" s="237"/>
      <c r="F365" s="264"/>
    </row>
    <row r="366" spans="1:23" s="139" customFormat="1" x14ac:dyDescent="0.2">
      <c r="A366" s="148" t="s">
        <v>379</v>
      </c>
      <c r="B366" s="363"/>
      <c r="C366" s="363"/>
      <c r="D366" s="363"/>
      <c r="E366" s="363"/>
      <c r="F366" s="240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</row>
    <row r="367" spans="1:23" s="139" customFormat="1" ht="13.5" thickBot="1" x14ac:dyDescent="0.25">
      <c r="A367" s="378"/>
      <c r="B367" s="378"/>
      <c r="C367" s="378"/>
      <c r="D367" s="378"/>
      <c r="E367" s="378"/>
      <c r="F367" s="378"/>
    </row>
    <row r="368" spans="1:23" s="139" customFormat="1" ht="39.75" thickTop="1" thickBot="1" x14ac:dyDescent="0.25">
      <c r="A368" s="155" t="s">
        <v>322</v>
      </c>
      <c r="B368" s="156" t="s">
        <v>277</v>
      </c>
      <c r="C368" s="156" t="s">
        <v>366</v>
      </c>
      <c r="D368" s="156" t="s">
        <v>367</v>
      </c>
      <c r="E368" s="156" t="s">
        <v>368</v>
      </c>
      <c r="F368" s="241" t="s">
        <v>278</v>
      </c>
    </row>
    <row r="369" spans="1:6" s="139" customFormat="1" ht="14.25" thickTop="1" thickBot="1" x14ac:dyDescent="0.25">
      <c r="A369" s="467">
        <v>1</v>
      </c>
      <c r="B369" s="468"/>
      <c r="C369" s="156">
        <v>2</v>
      </c>
      <c r="D369" s="156">
        <v>3</v>
      </c>
      <c r="E369" s="156">
        <v>4</v>
      </c>
      <c r="F369" s="241" t="s">
        <v>279</v>
      </c>
    </row>
    <row r="370" spans="1:6" s="139" customFormat="1" ht="13.5" thickTop="1" x14ac:dyDescent="0.2">
      <c r="A370" s="162" t="s">
        <v>7</v>
      </c>
      <c r="B370" s="152" t="s">
        <v>219</v>
      </c>
      <c r="C370" s="210">
        <f>C371+C381+C386</f>
        <v>1449635</v>
      </c>
      <c r="D370" s="210">
        <f t="shared" ref="D370:E370" si="123">D371+D381+D386</f>
        <v>1449635</v>
      </c>
      <c r="E370" s="210">
        <f t="shared" si="123"/>
        <v>1419653.2499999998</v>
      </c>
      <c r="F370" s="260">
        <f t="shared" ref="F370:F388" si="124">E370/D370*100</f>
        <v>97.931772480658907</v>
      </c>
    </row>
    <row r="371" spans="1:6" s="139" customFormat="1" x14ac:dyDescent="0.2">
      <c r="A371" s="162" t="s">
        <v>220</v>
      </c>
      <c r="B371" s="152" t="s">
        <v>226</v>
      </c>
      <c r="C371" s="210">
        <f>C372+C376+C378</f>
        <v>1302120</v>
      </c>
      <c r="D371" s="210">
        <f t="shared" ref="D371:E371" si="125">D372+D376+D378</f>
        <v>1302120</v>
      </c>
      <c r="E371" s="210">
        <f t="shared" si="125"/>
        <v>1290498.8199999998</v>
      </c>
      <c r="F371" s="260">
        <f t="shared" si="124"/>
        <v>99.107518508278787</v>
      </c>
    </row>
    <row r="372" spans="1:6" s="139" customFormat="1" x14ac:dyDescent="0.2">
      <c r="A372" s="162" t="s">
        <v>112</v>
      </c>
      <c r="B372" s="152" t="s">
        <v>113</v>
      </c>
      <c r="C372" s="210">
        <f>SUM(C373:C375)</f>
        <v>1077770</v>
      </c>
      <c r="D372" s="210">
        <f>SUM(D373:D375)</f>
        <v>1077770</v>
      </c>
      <c r="E372" s="210">
        <f>SUM(E373:E375)</f>
        <v>1085405.3199999998</v>
      </c>
      <c r="F372" s="260">
        <f t="shared" si="124"/>
        <v>100.7084368650083</v>
      </c>
    </row>
    <row r="373" spans="1:6" s="139" customFormat="1" x14ac:dyDescent="0.2">
      <c r="A373" s="160" t="s">
        <v>114</v>
      </c>
      <c r="B373" s="150" t="s">
        <v>115</v>
      </c>
      <c r="C373" s="209">
        <v>1024600</v>
      </c>
      <c r="D373" s="209">
        <v>1024600</v>
      </c>
      <c r="E373" s="209">
        <v>1031943.63</v>
      </c>
      <c r="F373" s="262">
        <f t="shared" si="124"/>
        <v>100.71673140737849</v>
      </c>
    </row>
    <row r="374" spans="1:6" s="139" customFormat="1" x14ac:dyDescent="0.2">
      <c r="A374" s="160" t="s">
        <v>116</v>
      </c>
      <c r="B374" s="150" t="s">
        <v>117</v>
      </c>
      <c r="C374" s="209">
        <v>19770</v>
      </c>
      <c r="D374" s="209">
        <v>19770</v>
      </c>
      <c r="E374" s="209">
        <v>17600.28</v>
      </c>
      <c r="F374" s="262">
        <f t="shared" si="124"/>
        <v>89.025189681335348</v>
      </c>
    </row>
    <row r="375" spans="1:6" s="139" customFormat="1" x14ac:dyDescent="0.2">
      <c r="A375" s="160" t="s">
        <v>209</v>
      </c>
      <c r="B375" s="150" t="s">
        <v>210</v>
      </c>
      <c r="C375" s="209">
        <v>33400</v>
      </c>
      <c r="D375" s="209">
        <v>33400</v>
      </c>
      <c r="E375" s="209">
        <v>35861.410000000003</v>
      </c>
      <c r="F375" s="262">
        <f t="shared" si="124"/>
        <v>107.36949101796409</v>
      </c>
    </row>
    <row r="376" spans="1:6" s="139" customFormat="1" x14ac:dyDescent="0.2">
      <c r="A376" s="162" t="s">
        <v>118</v>
      </c>
      <c r="B376" s="152" t="s">
        <v>119</v>
      </c>
      <c r="C376" s="210">
        <f>C377</f>
        <v>55290</v>
      </c>
      <c r="D376" s="210">
        <f t="shared" ref="D376:E376" si="126">D377</f>
        <v>55290</v>
      </c>
      <c r="E376" s="210">
        <f t="shared" si="126"/>
        <v>36376.01</v>
      </c>
      <c r="F376" s="260">
        <f t="shared" si="124"/>
        <v>65.791300415988431</v>
      </c>
    </row>
    <row r="377" spans="1:6" s="139" customFormat="1" x14ac:dyDescent="0.2">
      <c r="A377" s="160" t="s">
        <v>120</v>
      </c>
      <c r="B377" s="150" t="s">
        <v>119</v>
      </c>
      <c r="C377" s="209">
        <v>55290</v>
      </c>
      <c r="D377" s="209">
        <v>55290</v>
      </c>
      <c r="E377" s="209">
        <v>36376.01</v>
      </c>
      <c r="F377" s="262">
        <f t="shared" si="124"/>
        <v>65.791300415988431</v>
      </c>
    </row>
    <row r="378" spans="1:6" s="139" customFormat="1" x14ac:dyDescent="0.2">
      <c r="A378" s="162" t="s">
        <v>121</v>
      </c>
      <c r="B378" s="152" t="s">
        <v>122</v>
      </c>
      <c r="C378" s="210">
        <f>C379+C380</f>
        <v>169060</v>
      </c>
      <c r="D378" s="210">
        <f t="shared" ref="D378:E378" si="127">D379+D380</f>
        <v>169060</v>
      </c>
      <c r="E378" s="210">
        <f t="shared" si="127"/>
        <v>168717.49</v>
      </c>
      <c r="F378" s="260">
        <f t="shared" si="124"/>
        <v>99.797403288773211</v>
      </c>
    </row>
    <row r="379" spans="1:6" s="139" customFormat="1" x14ac:dyDescent="0.2">
      <c r="A379" s="160" t="s">
        <v>123</v>
      </c>
      <c r="B379" s="150" t="s">
        <v>124</v>
      </c>
      <c r="C379" s="209">
        <v>169060</v>
      </c>
      <c r="D379" s="209">
        <v>169060</v>
      </c>
      <c r="E379" s="209">
        <v>168717.49</v>
      </c>
      <c r="F379" s="262">
        <f t="shared" si="124"/>
        <v>99.797403288773211</v>
      </c>
    </row>
    <row r="380" spans="1:6" s="139" customFormat="1" x14ac:dyDescent="0.2">
      <c r="A380" s="160">
        <v>3133</v>
      </c>
      <c r="B380" s="165" t="s">
        <v>327</v>
      </c>
      <c r="C380" s="209">
        <v>0</v>
      </c>
      <c r="D380" s="209">
        <v>0</v>
      </c>
      <c r="E380" s="209">
        <v>0</v>
      </c>
      <c r="F380" s="262" t="e">
        <f t="shared" si="124"/>
        <v>#DIV/0!</v>
      </c>
    </row>
    <row r="381" spans="1:6" s="139" customFormat="1" x14ac:dyDescent="0.2">
      <c r="A381" s="162" t="s">
        <v>221</v>
      </c>
      <c r="B381" s="152" t="s">
        <v>227</v>
      </c>
      <c r="C381" s="210">
        <f>C382+C384</f>
        <v>126285</v>
      </c>
      <c r="D381" s="210">
        <f t="shared" ref="D381:E381" si="128">D382+D384</f>
        <v>126285</v>
      </c>
      <c r="E381" s="210">
        <f t="shared" si="128"/>
        <v>109873.48</v>
      </c>
      <c r="F381" s="260">
        <f t="shared" si="124"/>
        <v>87.004378984044024</v>
      </c>
    </row>
    <row r="382" spans="1:6" s="139" customFormat="1" x14ac:dyDescent="0.2">
      <c r="A382" s="162" t="s">
        <v>125</v>
      </c>
      <c r="B382" s="152" t="s">
        <v>126</v>
      </c>
      <c r="C382" s="210">
        <f>SUM(C383:C383)</f>
        <v>14950</v>
      </c>
      <c r="D382" s="210">
        <f>SUM(D383:D383)</f>
        <v>14950</v>
      </c>
      <c r="E382" s="210">
        <f>SUM(E383:E383)</f>
        <v>14598.01</v>
      </c>
      <c r="F382" s="260">
        <f t="shared" si="124"/>
        <v>97.645551839464886</v>
      </c>
    </row>
    <row r="383" spans="1:6" s="139" customFormat="1" x14ac:dyDescent="0.2">
      <c r="A383" s="160" t="s">
        <v>129</v>
      </c>
      <c r="B383" s="150" t="s">
        <v>130</v>
      </c>
      <c r="C383" s="209">
        <v>14950</v>
      </c>
      <c r="D383" s="209">
        <v>14950</v>
      </c>
      <c r="E383" s="209">
        <v>14598.01</v>
      </c>
      <c r="F383" s="262">
        <f t="shared" si="124"/>
        <v>97.645551839464886</v>
      </c>
    </row>
    <row r="384" spans="1:6" s="139" customFormat="1" x14ac:dyDescent="0.2">
      <c r="A384" s="162" t="s">
        <v>133</v>
      </c>
      <c r="B384" s="152" t="s">
        <v>134</v>
      </c>
      <c r="C384" s="210">
        <f>SUM(C385:C385)</f>
        <v>111335</v>
      </c>
      <c r="D384" s="210">
        <f>SUM(D385:D385)</f>
        <v>111335</v>
      </c>
      <c r="E384" s="210">
        <f>SUM(E385:E385)</f>
        <v>95275.47</v>
      </c>
      <c r="F384" s="260">
        <f t="shared" si="124"/>
        <v>85.575488390892346</v>
      </c>
    </row>
    <row r="385" spans="1:23" s="139" customFormat="1" x14ac:dyDescent="0.2">
      <c r="A385" s="160" t="s">
        <v>195</v>
      </c>
      <c r="B385" s="150" t="s">
        <v>196</v>
      </c>
      <c r="C385" s="209">
        <v>111335</v>
      </c>
      <c r="D385" s="209">
        <v>111335</v>
      </c>
      <c r="E385" s="209">
        <v>95275.47</v>
      </c>
      <c r="F385" s="262">
        <f t="shared" si="124"/>
        <v>85.575488390892346</v>
      </c>
    </row>
    <row r="386" spans="1:23" s="139" customFormat="1" x14ac:dyDescent="0.2">
      <c r="A386" s="162" t="s">
        <v>223</v>
      </c>
      <c r="B386" s="152" t="s">
        <v>229</v>
      </c>
      <c r="C386" s="210">
        <f>C387</f>
        <v>21230</v>
      </c>
      <c r="D386" s="210">
        <f t="shared" ref="D386:E387" si="129">D387</f>
        <v>21230</v>
      </c>
      <c r="E386" s="210">
        <f t="shared" si="129"/>
        <v>19280.95</v>
      </c>
      <c r="F386" s="260">
        <f t="shared" si="124"/>
        <v>90.819359397079609</v>
      </c>
    </row>
    <row r="387" spans="1:23" s="139" customFormat="1" x14ac:dyDescent="0.2">
      <c r="A387" s="162" t="s">
        <v>183</v>
      </c>
      <c r="B387" s="152" t="s">
        <v>184</v>
      </c>
      <c r="C387" s="210">
        <f>C388</f>
        <v>21230</v>
      </c>
      <c r="D387" s="210">
        <f t="shared" si="129"/>
        <v>21230</v>
      </c>
      <c r="E387" s="210">
        <f t="shared" si="129"/>
        <v>19280.95</v>
      </c>
      <c r="F387" s="260">
        <f t="shared" si="124"/>
        <v>90.819359397079609</v>
      </c>
    </row>
    <row r="388" spans="1:23" s="139" customFormat="1" ht="13.5" thickBot="1" x14ac:dyDescent="0.25">
      <c r="A388" s="163" t="s">
        <v>207</v>
      </c>
      <c r="B388" s="154" t="s">
        <v>208</v>
      </c>
      <c r="C388" s="211">
        <v>21230</v>
      </c>
      <c r="D388" s="211">
        <v>21230</v>
      </c>
      <c r="E388" s="211">
        <v>19280.95</v>
      </c>
      <c r="F388" s="263">
        <f t="shared" si="124"/>
        <v>90.819359397079609</v>
      </c>
    </row>
    <row r="389" spans="1:23" s="139" customFormat="1" ht="13.5" thickTop="1" x14ac:dyDescent="0.2">
      <c r="A389" s="235"/>
      <c r="B389" s="236"/>
      <c r="C389" s="237"/>
      <c r="D389" s="237"/>
      <c r="E389" s="237"/>
      <c r="F389" s="264"/>
    </row>
    <row r="390" spans="1:23" s="197" customFormat="1" ht="16.5" customHeight="1" x14ac:dyDescent="0.2">
      <c r="A390" s="207" t="s">
        <v>328</v>
      </c>
      <c r="B390" s="189"/>
      <c r="C390" s="189"/>
      <c r="D390" s="189"/>
      <c r="E390" s="189"/>
      <c r="F390" s="258"/>
    </row>
    <row r="391" spans="1:23" s="197" customFormat="1" ht="12.75" customHeight="1" x14ac:dyDescent="0.2">
      <c r="A391" s="207"/>
      <c r="B391" s="189"/>
      <c r="C391" s="189"/>
      <c r="D391" s="189"/>
      <c r="E391" s="189"/>
      <c r="F391" s="258"/>
    </row>
    <row r="392" spans="1:23" s="139" customFormat="1" x14ac:dyDescent="0.2">
      <c r="A392" s="148" t="s">
        <v>339</v>
      </c>
      <c r="B392" s="138"/>
      <c r="C392" s="138"/>
      <c r="D392" s="138"/>
      <c r="E392" s="138"/>
      <c r="F392" s="240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</row>
    <row r="393" spans="1:23" s="139" customFormat="1" ht="13.5" thickBot="1" x14ac:dyDescent="0.25">
      <c r="A393" s="378"/>
      <c r="B393" s="378"/>
      <c r="C393" s="378"/>
      <c r="D393" s="378"/>
      <c r="E393" s="378"/>
      <c r="F393" s="378"/>
    </row>
    <row r="394" spans="1:23" s="139" customFormat="1" ht="39.75" thickTop="1" thickBot="1" x14ac:dyDescent="0.25">
      <c r="A394" s="155" t="s">
        <v>322</v>
      </c>
      <c r="B394" s="156" t="s">
        <v>277</v>
      </c>
      <c r="C394" s="156" t="s">
        <v>366</v>
      </c>
      <c r="D394" s="156" t="s">
        <v>367</v>
      </c>
      <c r="E394" s="156" t="s">
        <v>368</v>
      </c>
      <c r="F394" s="241" t="s">
        <v>278</v>
      </c>
    </row>
    <row r="395" spans="1:23" s="139" customFormat="1" ht="14.25" thickTop="1" thickBot="1" x14ac:dyDescent="0.25">
      <c r="A395" s="467">
        <v>1</v>
      </c>
      <c r="B395" s="468"/>
      <c r="C395" s="156">
        <v>2</v>
      </c>
      <c r="D395" s="156">
        <v>3</v>
      </c>
      <c r="E395" s="156">
        <v>4</v>
      </c>
      <c r="F395" s="241" t="s">
        <v>279</v>
      </c>
    </row>
    <row r="396" spans="1:23" s="139" customFormat="1" ht="13.5" thickTop="1" x14ac:dyDescent="0.2">
      <c r="A396" s="162" t="s">
        <v>8</v>
      </c>
      <c r="B396" s="152" t="s">
        <v>231</v>
      </c>
      <c r="C396" s="210">
        <f>C397</f>
        <v>2660</v>
      </c>
      <c r="D396" s="210">
        <f t="shared" ref="D396:E397" si="130">D397</f>
        <v>2660</v>
      </c>
      <c r="E396" s="210">
        <f t="shared" si="130"/>
        <v>0</v>
      </c>
      <c r="F396" s="260">
        <f t="shared" ref="F396:F400" si="131">E396/D396*100</f>
        <v>0</v>
      </c>
    </row>
    <row r="397" spans="1:23" s="139" customFormat="1" x14ac:dyDescent="0.2">
      <c r="A397" s="162" t="s">
        <v>225</v>
      </c>
      <c r="B397" s="152" t="s">
        <v>232</v>
      </c>
      <c r="C397" s="210">
        <f>C398</f>
        <v>2660</v>
      </c>
      <c r="D397" s="210">
        <f t="shared" si="130"/>
        <v>2660</v>
      </c>
      <c r="E397" s="210">
        <f t="shared" si="130"/>
        <v>0</v>
      </c>
      <c r="F397" s="260">
        <f t="shared" si="131"/>
        <v>0</v>
      </c>
    </row>
    <row r="398" spans="1:23" s="139" customFormat="1" x14ac:dyDescent="0.2">
      <c r="A398" s="162" t="s">
        <v>185</v>
      </c>
      <c r="B398" s="152" t="s">
        <v>186</v>
      </c>
      <c r="C398" s="210">
        <f>SUM(C399:C400)</f>
        <v>2660</v>
      </c>
      <c r="D398" s="210">
        <f t="shared" ref="D398:E398" si="132">SUM(D399:D400)</f>
        <v>2660</v>
      </c>
      <c r="E398" s="210">
        <f t="shared" si="132"/>
        <v>0</v>
      </c>
      <c r="F398" s="260">
        <f t="shared" si="131"/>
        <v>0</v>
      </c>
    </row>
    <row r="399" spans="1:23" s="139" customFormat="1" x14ac:dyDescent="0.2">
      <c r="A399" s="160" t="s">
        <v>205</v>
      </c>
      <c r="B399" s="150" t="s">
        <v>206</v>
      </c>
      <c r="C399" s="209">
        <v>2000</v>
      </c>
      <c r="D399" s="209">
        <v>2000</v>
      </c>
      <c r="E399" s="209">
        <v>0</v>
      </c>
      <c r="F399" s="262">
        <f t="shared" si="131"/>
        <v>0</v>
      </c>
    </row>
    <row r="400" spans="1:23" s="139" customFormat="1" ht="13.5" thickBot="1" x14ac:dyDescent="0.25">
      <c r="A400" s="163" t="s">
        <v>189</v>
      </c>
      <c r="B400" s="154" t="s">
        <v>190</v>
      </c>
      <c r="C400" s="211">
        <v>660</v>
      </c>
      <c r="D400" s="211">
        <v>660</v>
      </c>
      <c r="E400" s="211">
        <v>0</v>
      </c>
      <c r="F400" s="263">
        <f t="shared" si="131"/>
        <v>0</v>
      </c>
    </row>
    <row r="401" spans="1:23" s="139" customFormat="1" ht="13.5" thickTop="1" x14ac:dyDescent="0.2">
      <c r="A401" s="235"/>
      <c r="B401" s="236"/>
      <c r="C401" s="237"/>
      <c r="D401" s="237"/>
      <c r="E401" s="237"/>
      <c r="F401" s="264"/>
    </row>
    <row r="402" spans="1:23" s="139" customFormat="1" x14ac:dyDescent="0.2">
      <c r="A402" s="148" t="s">
        <v>355</v>
      </c>
      <c r="B402" s="363"/>
      <c r="C402" s="363"/>
      <c r="D402" s="363"/>
      <c r="E402" s="363"/>
      <c r="F402" s="240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</row>
    <row r="403" spans="1:23" s="139" customFormat="1" ht="13.5" thickBot="1" x14ac:dyDescent="0.25">
      <c r="A403" s="378"/>
      <c r="B403" s="378"/>
      <c r="C403" s="378"/>
      <c r="D403" s="378"/>
      <c r="E403" s="378"/>
      <c r="F403" s="378"/>
    </row>
    <row r="404" spans="1:23" s="139" customFormat="1" ht="39.75" thickTop="1" thickBot="1" x14ac:dyDescent="0.25">
      <c r="A404" s="155" t="s">
        <v>322</v>
      </c>
      <c r="B404" s="156" t="s">
        <v>277</v>
      </c>
      <c r="C404" s="156" t="s">
        <v>366</v>
      </c>
      <c r="D404" s="156" t="s">
        <v>367</v>
      </c>
      <c r="E404" s="156" t="s">
        <v>368</v>
      </c>
      <c r="F404" s="241" t="s">
        <v>278</v>
      </c>
    </row>
    <row r="405" spans="1:23" s="139" customFormat="1" ht="14.25" thickTop="1" thickBot="1" x14ac:dyDescent="0.25">
      <c r="A405" s="467">
        <v>1</v>
      </c>
      <c r="B405" s="468"/>
      <c r="C405" s="156">
        <v>2</v>
      </c>
      <c r="D405" s="156">
        <v>3</v>
      </c>
      <c r="E405" s="156">
        <v>4</v>
      </c>
      <c r="F405" s="241" t="s">
        <v>279</v>
      </c>
    </row>
    <row r="406" spans="1:23" s="139" customFormat="1" ht="13.5" thickTop="1" x14ac:dyDescent="0.2">
      <c r="A406" s="162" t="s">
        <v>8</v>
      </c>
      <c r="B406" s="152" t="s">
        <v>231</v>
      </c>
      <c r="C406" s="210">
        <f>C407</f>
        <v>385</v>
      </c>
      <c r="D406" s="210">
        <f t="shared" ref="D406:E407" si="133">D407</f>
        <v>385</v>
      </c>
      <c r="E406" s="210">
        <f t="shared" si="133"/>
        <v>0</v>
      </c>
      <c r="F406" s="260">
        <f t="shared" ref="F406:F409" si="134">E406/D406*100</f>
        <v>0</v>
      </c>
    </row>
    <row r="407" spans="1:23" s="139" customFormat="1" x14ac:dyDescent="0.2">
      <c r="A407" s="162" t="s">
        <v>225</v>
      </c>
      <c r="B407" s="152" t="s">
        <v>232</v>
      </c>
      <c r="C407" s="210">
        <f>C408</f>
        <v>385</v>
      </c>
      <c r="D407" s="210">
        <f t="shared" si="133"/>
        <v>385</v>
      </c>
      <c r="E407" s="210">
        <f t="shared" si="133"/>
        <v>0</v>
      </c>
      <c r="F407" s="260">
        <f t="shared" si="134"/>
        <v>0</v>
      </c>
    </row>
    <row r="408" spans="1:23" s="139" customFormat="1" x14ac:dyDescent="0.2">
      <c r="A408" s="162" t="s">
        <v>185</v>
      </c>
      <c r="B408" s="152" t="s">
        <v>186</v>
      </c>
      <c r="C408" s="210">
        <f>SUM(C409:C409)</f>
        <v>385</v>
      </c>
      <c r="D408" s="210">
        <f>SUM(D409:D409)</f>
        <v>385</v>
      </c>
      <c r="E408" s="210">
        <f>SUM(E409:E409)</f>
        <v>0</v>
      </c>
      <c r="F408" s="260">
        <f t="shared" si="134"/>
        <v>0</v>
      </c>
    </row>
    <row r="409" spans="1:23" s="139" customFormat="1" ht="13.5" thickBot="1" x14ac:dyDescent="0.25">
      <c r="A409" s="163" t="s">
        <v>189</v>
      </c>
      <c r="B409" s="154" t="s">
        <v>190</v>
      </c>
      <c r="C409" s="211">
        <v>385</v>
      </c>
      <c r="D409" s="211">
        <v>385</v>
      </c>
      <c r="E409" s="211">
        <v>0</v>
      </c>
      <c r="F409" s="263">
        <f t="shared" si="134"/>
        <v>0</v>
      </c>
    </row>
    <row r="410" spans="1:23" s="139" customFormat="1" ht="13.5" thickTop="1" x14ac:dyDescent="0.2">
      <c r="A410" s="235"/>
      <c r="B410" s="236"/>
      <c r="C410" s="237"/>
      <c r="D410" s="237"/>
      <c r="E410" s="237"/>
      <c r="F410" s="264"/>
    </row>
    <row r="411" spans="1:23" s="139" customFormat="1" x14ac:dyDescent="0.2">
      <c r="A411" s="148" t="s">
        <v>358</v>
      </c>
      <c r="B411" s="138"/>
      <c r="C411" s="138"/>
      <c r="D411" s="138"/>
      <c r="E411" s="138"/>
      <c r="F411" s="240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</row>
    <row r="412" spans="1:23" s="139" customFormat="1" ht="13.5" thickBot="1" x14ac:dyDescent="0.25">
      <c r="A412" s="378"/>
      <c r="B412" s="378"/>
      <c r="C412" s="378"/>
      <c r="D412" s="378"/>
      <c r="E412" s="378"/>
      <c r="F412" s="378"/>
    </row>
    <row r="413" spans="1:23" s="139" customFormat="1" ht="39.75" thickTop="1" thickBot="1" x14ac:dyDescent="0.25">
      <c r="A413" s="155" t="s">
        <v>322</v>
      </c>
      <c r="B413" s="156" t="s">
        <v>277</v>
      </c>
      <c r="C413" s="156" t="s">
        <v>366</v>
      </c>
      <c r="D413" s="156" t="s">
        <v>367</v>
      </c>
      <c r="E413" s="156" t="s">
        <v>368</v>
      </c>
      <c r="F413" s="241" t="s">
        <v>278</v>
      </c>
    </row>
    <row r="414" spans="1:23" s="139" customFormat="1" ht="14.25" thickTop="1" thickBot="1" x14ac:dyDescent="0.25">
      <c r="A414" s="467">
        <v>1</v>
      </c>
      <c r="B414" s="468"/>
      <c r="C414" s="156">
        <v>2</v>
      </c>
      <c r="D414" s="156">
        <v>3</v>
      </c>
      <c r="E414" s="156">
        <v>4</v>
      </c>
      <c r="F414" s="241" t="s">
        <v>279</v>
      </c>
    </row>
    <row r="415" spans="1:23" s="139" customFormat="1" ht="13.5" thickTop="1" x14ac:dyDescent="0.2">
      <c r="A415" s="162" t="s">
        <v>8</v>
      </c>
      <c r="B415" s="152" t="s">
        <v>231</v>
      </c>
      <c r="C415" s="210">
        <f>C416</f>
        <v>9001</v>
      </c>
      <c r="D415" s="210">
        <f t="shared" ref="D415:E416" si="135">D416</f>
        <v>9001</v>
      </c>
      <c r="E415" s="210">
        <f t="shared" si="135"/>
        <v>1852.25</v>
      </c>
      <c r="F415" s="260">
        <f t="shared" ref="F415:F419" si="136">E415/D415*100</f>
        <v>20.5782690812132</v>
      </c>
    </row>
    <row r="416" spans="1:23" s="139" customFormat="1" x14ac:dyDescent="0.2">
      <c r="A416" s="162" t="s">
        <v>225</v>
      </c>
      <c r="B416" s="152" t="s">
        <v>232</v>
      </c>
      <c r="C416" s="210">
        <f>C417</f>
        <v>9001</v>
      </c>
      <c r="D416" s="210">
        <f t="shared" si="135"/>
        <v>9001</v>
      </c>
      <c r="E416" s="210">
        <f t="shared" si="135"/>
        <v>1852.25</v>
      </c>
      <c r="F416" s="260">
        <f t="shared" si="136"/>
        <v>20.5782690812132</v>
      </c>
    </row>
    <row r="417" spans="1:23" s="139" customFormat="1" x14ac:dyDescent="0.2">
      <c r="A417" s="162" t="s">
        <v>185</v>
      </c>
      <c r="B417" s="152" t="s">
        <v>186</v>
      </c>
      <c r="C417" s="210">
        <f>SUM(C418:C419)</f>
        <v>9001</v>
      </c>
      <c r="D417" s="210">
        <f t="shared" ref="D417:E417" si="137">SUM(D418:D419)</f>
        <v>9001</v>
      </c>
      <c r="E417" s="210">
        <f t="shared" si="137"/>
        <v>1852.25</v>
      </c>
      <c r="F417" s="260">
        <f t="shared" si="136"/>
        <v>20.5782690812132</v>
      </c>
    </row>
    <row r="418" spans="1:23" s="139" customFormat="1" x14ac:dyDescent="0.2">
      <c r="A418" s="160" t="s">
        <v>187</v>
      </c>
      <c r="B418" s="150" t="s">
        <v>188</v>
      </c>
      <c r="C418" s="209">
        <v>2000</v>
      </c>
      <c r="D418" s="209">
        <v>2000</v>
      </c>
      <c r="E418" s="209">
        <v>540</v>
      </c>
      <c r="F418" s="262">
        <f t="shared" si="136"/>
        <v>27</v>
      </c>
    </row>
    <row r="419" spans="1:23" s="139" customFormat="1" ht="13.5" thickBot="1" x14ac:dyDescent="0.25">
      <c r="A419" s="163" t="s">
        <v>189</v>
      </c>
      <c r="B419" s="154" t="s">
        <v>190</v>
      </c>
      <c r="C419" s="211">
        <v>7001</v>
      </c>
      <c r="D419" s="211">
        <v>7001</v>
      </c>
      <c r="E419" s="211">
        <v>1312.25</v>
      </c>
      <c r="F419" s="263">
        <f t="shared" si="136"/>
        <v>18.743750892729611</v>
      </c>
    </row>
    <row r="420" spans="1:23" s="139" customFormat="1" ht="13.5" thickTop="1" x14ac:dyDescent="0.2">
      <c r="A420" s="235"/>
      <c r="B420" s="236"/>
      <c r="C420" s="237"/>
      <c r="D420" s="237"/>
      <c r="E420" s="237"/>
      <c r="F420" s="264"/>
    </row>
    <row r="421" spans="1:23" s="139" customFormat="1" x14ac:dyDescent="0.2">
      <c r="A421" s="148" t="s">
        <v>341</v>
      </c>
      <c r="B421" s="363"/>
      <c r="C421" s="363"/>
      <c r="D421" s="363"/>
      <c r="E421" s="363"/>
      <c r="F421" s="240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</row>
    <row r="422" spans="1:23" s="139" customFormat="1" ht="13.5" thickBot="1" x14ac:dyDescent="0.25">
      <c r="A422" s="378"/>
      <c r="B422" s="378"/>
      <c r="C422" s="378"/>
      <c r="D422" s="378"/>
      <c r="E422" s="378"/>
      <c r="F422" s="378"/>
    </row>
    <row r="423" spans="1:23" s="139" customFormat="1" ht="39.75" thickTop="1" thickBot="1" x14ac:dyDescent="0.25">
      <c r="A423" s="155" t="s">
        <v>322</v>
      </c>
      <c r="B423" s="156" t="s">
        <v>277</v>
      </c>
      <c r="C423" s="156" t="s">
        <v>366</v>
      </c>
      <c r="D423" s="156" t="s">
        <v>367</v>
      </c>
      <c r="E423" s="156" t="s">
        <v>368</v>
      </c>
      <c r="F423" s="241" t="s">
        <v>278</v>
      </c>
    </row>
    <row r="424" spans="1:23" s="139" customFormat="1" ht="14.25" thickTop="1" thickBot="1" x14ac:dyDescent="0.25">
      <c r="A424" s="467">
        <v>1</v>
      </c>
      <c r="B424" s="468"/>
      <c r="C424" s="156">
        <v>2</v>
      </c>
      <c r="D424" s="156">
        <v>3</v>
      </c>
      <c r="E424" s="156">
        <v>4</v>
      </c>
      <c r="F424" s="241" t="s">
        <v>279</v>
      </c>
    </row>
    <row r="425" spans="1:23" s="139" customFormat="1" ht="13.5" thickTop="1" x14ac:dyDescent="0.2">
      <c r="A425" s="162" t="s">
        <v>8</v>
      </c>
      <c r="B425" s="152" t="s">
        <v>231</v>
      </c>
      <c r="C425" s="210">
        <f>C426</f>
        <v>1830</v>
      </c>
      <c r="D425" s="210">
        <f t="shared" ref="D425:E426" si="138">D426</f>
        <v>1830</v>
      </c>
      <c r="E425" s="210">
        <f t="shared" si="138"/>
        <v>3732.5</v>
      </c>
      <c r="F425" s="260">
        <f t="shared" ref="F425:F428" si="139">E425/D425*100</f>
        <v>203.96174863387978</v>
      </c>
    </row>
    <row r="426" spans="1:23" s="139" customFormat="1" x14ac:dyDescent="0.2">
      <c r="A426" s="162" t="s">
        <v>225</v>
      </c>
      <c r="B426" s="152" t="s">
        <v>232</v>
      </c>
      <c r="C426" s="210">
        <f>C427</f>
        <v>1830</v>
      </c>
      <c r="D426" s="210">
        <f t="shared" si="138"/>
        <v>1830</v>
      </c>
      <c r="E426" s="210">
        <f t="shared" si="138"/>
        <v>3732.5</v>
      </c>
      <c r="F426" s="260">
        <f t="shared" si="139"/>
        <v>203.96174863387978</v>
      </c>
    </row>
    <row r="427" spans="1:23" s="139" customFormat="1" x14ac:dyDescent="0.2">
      <c r="A427" s="162" t="s">
        <v>185</v>
      </c>
      <c r="B427" s="152" t="s">
        <v>186</v>
      </c>
      <c r="C427" s="210">
        <f>SUM(C428:C428)</f>
        <v>1830</v>
      </c>
      <c r="D427" s="210">
        <f>SUM(D428:D428)</f>
        <v>1830</v>
      </c>
      <c r="E427" s="210">
        <f>SUM(E428:E428)</f>
        <v>3732.5</v>
      </c>
      <c r="F427" s="260">
        <f t="shared" si="139"/>
        <v>203.96174863387978</v>
      </c>
    </row>
    <row r="428" spans="1:23" s="139" customFormat="1" ht="13.5" thickBot="1" x14ac:dyDescent="0.25">
      <c r="A428" s="163" t="s">
        <v>187</v>
      </c>
      <c r="B428" s="154" t="s">
        <v>188</v>
      </c>
      <c r="C428" s="211">
        <v>1830</v>
      </c>
      <c r="D428" s="211">
        <v>1830</v>
      </c>
      <c r="E428" s="211">
        <v>3732.5</v>
      </c>
      <c r="F428" s="263">
        <f t="shared" si="139"/>
        <v>203.96174863387978</v>
      </c>
    </row>
    <row r="429" spans="1:23" s="139" customFormat="1" ht="13.5" thickTop="1" x14ac:dyDescent="0.2">
      <c r="A429" s="235"/>
      <c r="B429" s="236"/>
      <c r="C429" s="237"/>
      <c r="D429" s="237"/>
      <c r="E429" s="237"/>
      <c r="F429" s="264"/>
    </row>
    <row r="430" spans="1:23" s="197" customFormat="1" ht="16.5" customHeight="1" x14ac:dyDescent="0.2">
      <c r="A430" s="207" t="s">
        <v>378</v>
      </c>
      <c r="B430" s="189"/>
      <c r="C430" s="189"/>
      <c r="D430" s="189"/>
      <c r="E430" s="189"/>
      <c r="F430" s="258"/>
    </row>
    <row r="431" spans="1:23" s="197" customFormat="1" ht="12.75" customHeight="1" x14ac:dyDescent="0.2">
      <c r="A431" s="207"/>
      <c r="B431" s="189"/>
      <c r="C431" s="189"/>
      <c r="D431" s="189"/>
      <c r="E431" s="189"/>
      <c r="F431" s="258"/>
    </row>
    <row r="432" spans="1:23" s="139" customFormat="1" x14ac:dyDescent="0.2">
      <c r="A432" s="148" t="s">
        <v>340</v>
      </c>
      <c r="B432" s="138"/>
      <c r="C432" s="138"/>
      <c r="D432" s="138"/>
      <c r="E432" s="138"/>
      <c r="F432" s="240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</row>
    <row r="433" spans="1:23" s="139" customFormat="1" ht="13.5" thickBot="1" x14ac:dyDescent="0.25">
      <c r="A433" s="378"/>
      <c r="B433" s="378"/>
      <c r="C433" s="378"/>
      <c r="D433" s="378"/>
      <c r="E433" s="378"/>
      <c r="F433" s="378"/>
    </row>
    <row r="434" spans="1:23" s="139" customFormat="1" ht="39.75" thickTop="1" thickBot="1" x14ac:dyDescent="0.25">
      <c r="A434" s="155" t="s">
        <v>322</v>
      </c>
      <c r="B434" s="156" t="s">
        <v>277</v>
      </c>
      <c r="C434" s="156" t="s">
        <v>366</v>
      </c>
      <c r="D434" s="156" t="s">
        <v>367</v>
      </c>
      <c r="E434" s="156" t="s">
        <v>368</v>
      </c>
      <c r="F434" s="241" t="s">
        <v>278</v>
      </c>
    </row>
    <row r="435" spans="1:23" s="139" customFormat="1" ht="14.25" thickTop="1" thickBot="1" x14ac:dyDescent="0.25">
      <c r="A435" s="467">
        <v>1</v>
      </c>
      <c r="B435" s="468"/>
      <c r="C435" s="156">
        <v>2</v>
      </c>
      <c r="D435" s="156">
        <v>3</v>
      </c>
      <c r="E435" s="156">
        <v>4</v>
      </c>
      <c r="F435" s="241" t="s">
        <v>279</v>
      </c>
    </row>
    <row r="436" spans="1:23" s="139" customFormat="1" ht="13.5" thickTop="1" x14ac:dyDescent="0.2">
      <c r="A436" s="162" t="s">
        <v>8</v>
      </c>
      <c r="B436" s="152" t="s">
        <v>231</v>
      </c>
      <c r="C436" s="210">
        <f>C437</f>
        <v>260</v>
      </c>
      <c r="D436" s="210">
        <f t="shared" ref="D436:E438" si="140">D437</f>
        <v>260</v>
      </c>
      <c r="E436" s="210">
        <f t="shared" si="140"/>
        <v>0</v>
      </c>
      <c r="F436" s="260">
        <f t="shared" ref="F436:F439" si="141">E436/D436*100</f>
        <v>0</v>
      </c>
    </row>
    <row r="437" spans="1:23" s="139" customFormat="1" x14ac:dyDescent="0.2">
      <c r="A437" s="162" t="s">
        <v>225</v>
      </c>
      <c r="B437" s="152" t="s">
        <v>232</v>
      </c>
      <c r="C437" s="210">
        <f>C438</f>
        <v>260</v>
      </c>
      <c r="D437" s="210">
        <f t="shared" si="140"/>
        <v>260</v>
      </c>
      <c r="E437" s="210">
        <f t="shared" si="140"/>
        <v>0</v>
      </c>
      <c r="F437" s="260">
        <f t="shared" si="141"/>
        <v>0</v>
      </c>
    </row>
    <row r="438" spans="1:23" s="139" customFormat="1" x14ac:dyDescent="0.2">
      <c r="A438" s="162" t="s">
        <v>197</v>
      </c>
      <c r="B438" s="152" t="s">
        <v>198</v>
      </c>
      <c r="C438" s="210">
        <f>C439</f>
        <v>260</v>
      </c>
      <c r="D438" s="210">
        <f t="shared" si="140"/>
        <v>260</v>
      </c>
      <c r="E438" s="210">
        <f t="shared" si="140"/>
        <v>0</v>
      </c>
      <c r="F438" s="260">
        <f t="shared" si="141"/>
        <v>0</v>
      </c>
    </row>
    <row r="439" spans="1:23" s="139" customFormat="1" ht="13.5" thickBot="1" x14ac:dyDescent="0.25">
      <c r="A439" s="163" t="s">
        <v>199</v>
      </c>
      <c r="B439" s="154" t="s">
        <v>200</v>
      </c>
      <c r="C439" s="211">
        <v>260</v>
      </c>
      <c r="D439" s="211">
        <v>260</v>
      </c>
      <c r="E439" s="211">
        <v>0</v>
      </c>
      <c r="F439" s="263">
        <f t="shared" si="141"/>
        <v>0</v>
      </c>
    </row>
    <row r="440" spans="1:23" s="139" customFormat="1" ht="13.5" thickTop="1" x14ac:dyDescent="0.2">
      <c r="A440" s="235"/>
      <c r="B440" s="236"/>
      <c r="C440" s="237"/>
      <c r="D440" s="237"/>
      <c r="E440" s="237"/>
      <c r="F440" s="264"/>
    </row>
    <row r="441" spans="1:23" s="139" customFormat="1" x14ac:dyDescent="0.2">
      <c r="A441" s="148" t="s">
        <v>341</v>
      </c>
      <c r="B441" s="138"/>
      <c r="C441" s="138"/>
      <c r="D441" s="138"/>
      <c r="E441" s="138"/>
      <c r="F441" s="240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</row>
    <row r="442" spans="1:23" s="139" customFormat="1" ht="13.5" thickBot="1" x14ac:dyDescent="0.25">
      <c r="A442" s="378"/>
      <c r="B442" s="378"/>
      <c r="C442" s="378"/>
      <c r="D442" s="378"/>
      <c r="E442" s="378"/>
      <c r="F442" s="378"/>
    </row>
    <row r="443" spans="1:23" s="139" customFormat="1" ht="39.75" thickTop="1" thickBot="1" x14ac:dyDescent="0.25">
      <c r="A443" s="155" t="s">
        <v>322</v>
      </c>
      <c r="B443" s="156" t="s">
        <v>277</v>
      </c>
      <c r="C443" s="156" t="s">
        <v>366</v>
      </c>
      <c r="D443" s="156" t="s">
        <v>367</v>
      </c>
      <c r="E443" s="156" t="s">
        <v>368</v>
      </c>
      <c r="F443" s="241" t="s">
        <v>278</v>
      </c>
    </row>
    <row r="444" spans="1:23" s="139" customFormat="1" ht="14.25" thickTop="1" thickBot="1" x14ac:dyDescent="0.25">
      <c r="A444" s="467">
        <v>1</v>
      </c>
      <c r="B444" s="468"/>
      <c r="C444" s="156">
        <v>2</v>
      </c>
      <c r="D444" s="156">
        <v>3</v>
      </c>
      <c r="E444" s="156">
        <v>4</v>
      </c>
      <c r="F444" s="241" t="s">
        <v>279</v>
      </c>
    </row>
    <row r="445" spans="1:23" ht="13.5" thickTop="1" x14ac:dyDescent="0.2">
      <c r="A445" s="162" t="s">
        <v>8</v>
      </c>
      <c r="B445" s="152" t="s">
        <v>231</v>
      </c>
      <c r="C445" s="210">
        <f>C446</f>
        <v>6640</v>
      </c>
      <c r="D445" s="210">
        <f t="shared" ref="D445:E447" si="142">D446</f>
        <v>6640</v>
      </c>
      <c r="E445" s="210">
        <f t="shared" si="142"/>
        <v>796.66</v>
      </c>
      <c r="F445" s="260">
        <f t="shared" ref="F445:F449" si="143">E445/D445*100</f>
        <v>11.997891566265059</v>
      </c>
    </row>
    <row r="446" spans="1:23" x14ac:dyDescent="0.2">
      <c r="A446" s="162" t="s">
        <v>225</v>
      </c>
      <c r="B446" s="152" t="s">
        <v>232</v>
      </c>
      <c r="C446" s="210">
        <f>C447</f>
        <v>6640</v>
      </c>
      <c r="D446" s="210">
        <f t="shared" si="142"/>
        <v>6640</v>
      </c>
      <c r="E446" s="210">
        <f t="shared" si="142"/>
        <v>796.66</v>
      </c>
      <c r="F446" s="260">
        <f t="shared" si="143"/>
        <v>11.997891566265059</v>
      </c>
    </row>
    <row r="447" spans="1:23" x14ac:dyDescent="0.2">
      <c r="A447" s="162" t="s">
        <v>197</v>
      </c>
      <c r="B447" s="152" t="s">
        <v>198</v>
      </c>
      <c r="C447" s="210">
        <f>C448</f>
        <v>6640</v>
      </c>
      <c r="D447" s="210">
        <f t="shared" si="142"/>
        <v>6640</v>
      </c>
      <c r="E447" s="210">
        <f t="shared" si="142"/>
        <v>796.66</v>
      </c>
      <c r="F447" s="260">
        <f t="shared" si="143"/>
        <v>11.997891566265059</v>
      </c>
    </row>
    <row r="448" spans="1:23" ht="13.5" thickBot="1" x14ac:dyDescent="0.25">
      <c r="A448" s="163" t="s">
        <v>199</v>
      </c>
      <c r="B448" s="154" t="s">
        <v>200</v>
      </c>
      <c r="C448" s="211">
        <v>6640</v>
      </c>
      <c r="D448" s="211">
        <v>6640</v>
      </c>
      <c r="E448" s="211">
        <v>796.66</v>
      </c>
      <c r="F448" s="263">
        <f t="shared" si="143"/>
        <v>11.997891566265059</v>
      </c>
    </row>
    <row r="449" spans="1:6" s="197" customFormat="1" ht="16.5" customHeight="1" thickTop="1" thickBot="1" x14ac:dyDescent="0.25">
      <c r="A449" s="369"/>
      <c r="B449" s="370" t="s">
        <v>380</v>
      </c>
      <c r="C449" s="371">
        <f>C127+C170+C183+C195+C224+C243+C257+C280+C294+C328+C346+C361+C370+C396+C406+C415+C425+C436+C445</f>
        <v>1816736</v>
      </c>
      <c r="D449" s="371">
        <f t="shared" ref="D449:E449" si="144">D127+D170+D183+D195+D224+D243+D257+D280+D294+D328+D346+D361+D370+D396+D406+D415+D425+D436+D445</f>
        <v>1816736</v>
      </c>
      <c r="E449" s="371">
        <f t="shared" si="144"/>
        <v>1722386.5599999998</v>
      </c>
      <c r="F449" s="372">
        <f t="shared" si="143"/>
        <v>94.806651048914077</v>
      </c>
    </row>
    <row r="450" spans="1:6" ht="13.5" thickTop="1" x14ac:dyDescent="0.2"/>
  </sheetData>
  <mergeCells count="73">
    <mergeCell ref="A442:F442"/>
    <mergeCell ref="A444:B444"/>
    <mergeCell ref="A395:B395"/>
    <mergeCell ref="A433:F433"/>
    <mergeCell ref="A435:B435"/>
    <mergeCell ref="A412:F412"/>
    <mergeCell ref="A414:B414"/>
    <mergeCell ref="A403:F403"/>
    <mergeCell ref="A405:B405"/>
    <mergeCell ref="A422:F422"/>
    <mergeCell ref="A424:B424"/>
    <mergeCell ref="A325:F325"/>
    <mergeCell ref="A327:B327"/>
    <mergeCell ref="A343:F343"/>
    <mergeCell ref="A345:B345"/>
    <mergeCell ref="A393:F393"/>
    <mergeCell ref="A358:F358"/>
    <mergeCell ref="A360:B360"/>
    <mergeCell ref="A367:F367"/>
    <mergeCell ref="A369:B369"/>
    <mergeCell ref="A256:B256"/>
    <mergeCell ref="A277:F277"/>
    <mergeCell ref="A279:B279"/>
    <mergeCell ref="A291:F291"/>
    <mergeCell ref="A293:B293"/>
    <mergeCell ref="A192:F192"/>
    <mergeCell ref="A194:B194"/>
    <mergeCell ref="A221:F221"/>
    <mergeCell ref="A223:B223"/>
    <mergeCell ref="A254:F254"/>
    <mergeCell ref="A240:F240"/>
    <mergeCell ref="A242:B242"/>
    <mergeCell ref="A5:W5"/>
    <mergeCell ref="A167:F167"/>
    <mergeCell ref="A169:B169"/>
    <mergeCell ref="A180:F180"/>
    <mergeCell ref="A182:B182"/>
    <mergeCell ref="A6:F6"/>
    <mergeCell ref="A7:F7"/>
    <mergeCell ref="A8:F8"/>
    <mergeCell ref="A9:F9"/>
    <mergeCell ref="A16:B16"/>
    <mergeCell ref="A11:F11"/>
    <mergeCell ref="A14:F14"/>
    <mergeCell ref="A38:B38"/>
    <mergeCell ref="A48:B48"/>
    <mergeCell ref="A51:F51"/>
    <mergeCell ref="A53:B53"/>
    <mergeCell ref="A21:B21"/>
    <mergeCell ref="A24:F24"/>
    <mergeCell ref="A26:B26"/>
    <mergeCell ref="A33:B33"/>
    <mergeCell ref="A36:F36"/>
    <mergeCell ref="A65:B65"/>
    <mergeCell ref="A68:F68"/>
    <mergeCell ref="A70:B70"/>
    <mergeCell ref="A74:B74"/>
    <mergeCell ref="A76:B76"/>
    <mergeCell ref="A79:F79"/>
    <mergeCell ref="A81:B81"/>
    <mergeCell ref="A86:B86"/>
    <mergeCell ref="A89:F89"/>
    <mergeCell ref="A91:B91"/>
    <mergeCell ref="A124:F124"/>
    <mergeCell ref="A126:B126"/>
    <mergeCell ref="A96:B96"/>
    <mergeCell ref="A99:F99"/>
    <mergeCell ref="A101:B101"/>
    <mergeCell ref="A105:B105"/>
    <mergeCell ref="A119:F119"/>
    <mergeCell ref="A108:F108"/>
    <mergeCell ref="A110:B110"/>
    <mergeCell ref="A114:B114"/>
  </mergeCells>
  <pageMargins left="0.51181102362204722" right="0.51181102362204722" top="0.59055118110236227" bottom="0.39370078740157483" header="0.31496062992125984" footer="0.31496062992125984"/>
  <pageSetup paperSize="9" scale="79" fitToHeight="0" orientation="landscape" r:id="rId1"/>
  <rowBreaks count="10" manualBreakCount="10">
    <brk id="42" max="5" man="1"/>
    <brk id="86" max="5" man="1"/>
    <brk id="118" max="5" man="1"/>
    <brk id="163" max="5" man="1"/>
    <brk id="207" max="5" man="1"/>
    <brk id="251" max="5" man="1"/>
    <brk id="289" max="5" man="1"/>
    <brk id="333" max="5" man="1"/>
    <brk id="377" max="5" man="1"/>
    <brk id="42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Izvještaj o izvr.proračuna OPĆI</vt:lpstr>
      <vt:lpstr>Prihodi i rashodi prema ekonoms</vt:lpstr>
      <vt:lpstr>Prihodi i rashodi prema izvorim</vt:lpstr>
      <vt:lpstr>Izvještaj po funkcijskoj klasif</vt:lpstr>
      <vt:lpstr>Izvještaj po programskoj k</vt:lpstr>
      <vt:lpstr>List1</vt:lpstr>
      <vt:lpstr>'Izvještaj po programskoj k'!Podrucje_ispisa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soukup</dc:creator>
  <cp:lastModifiedBy>Racunovodstvo</cp:lastModifiedBy>
  <cp:lastPrinted>2024-03-22T13:52:59Z</cp:lastPrinted>
  <dcterms:created xsi:type="dcterms:W3CDTF">2021-08-04T11:54:14Z</dcterms:created>
  <dcterms:modified xsi:type="dcterms:W3CDTF">2024-03-26T09:15:30Z</dcterms:modified>
</cp:coreProperties>
</file>